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11895" firstSheet="5" activeTab="5"/>
  </bookViews>
  <sheets>
    <sheet name="01.01.2010" sheetId="1" r:id="rId1"/>
    <sheet name="01.01.2011" sheetId="2" r:id="rId2"/>
    <sheet name="01.09.2011" sheetId="3" r:id="rId3"/>
    <sheet name="01.10.2011" sheetId="4" r:id="rId4"/>
    <sheet name="01.12.2011" sheetId="5" r:id="rId5"/>
    <sheet name="Резерв Мощности 2018" sheetId="6" r:id="rId6"/>
  </sheets>
  <definedNames/>
  <calcPr fullCalcOnLoad="1"/>
</workbook>
</file>

<file path=xl/sharedStrings.xml><?xml version="1.0" encoding="utf-8"?>
<sst xmlns="http://schemas.openxmlformats.org/spreadsheetml/2006/main" count="480" uniqueCount="95">
  <si>
    <t>ВЛ-КЛ-6кВ</t>
  </si>
  <si>
    <t>ОПОРЫ МУПЭС</t>
  </si>
  <si>
    <t>ОПОРЫ потреб.</t>
  </si>
  <si>
    <t>ИТОГО МУПЭС</t>
  </si>
  <si>
    <t>ИТОГО потр.</t>
  </si>
  <si>
    <t>№ ф</t>
  </si>
  <si>
    <t>фидер</t>
  </si>
  <si>
    <t>ВЛ-6кВ</t>
  </si>
  <si>
    <t>ВЛ-6кВ потр.</t>
  </si>
  <si>
    <t xml:space="preserve">КЛ-6кВ </t>
  </si>
  <si>
    <t>КЛ-6кВ РЭС. потр</t>
  </si>
  <si>
    <t>ж/б</t>
  </si>
  <si>
    <t>дер.с пас</t>
  </si>
  <si>
    <t>дер.</t>
  </si>
  <si>
    <t xml:space="preserve"> ВЛ-КЛ-6кВ</t>
  </si>
  <si>
    <t>Опоры</t>
  </si>
  <si>
    <t>101-2</t>
  </si>
  <si>
    <t>101-3</t>
  </si>
  <si>
    <t>101-4</t>
  </si>
  <si>
    <t>101-5</t>
  </si>
  <si>
    <t>101-7</t>
  </si>
  <si>
    <t>101-6</t>
  </si>
  <si>
    <t>101-10</t>
  </si>
  <si>
    <t>101-9</t>
  </si>
  <si>
    <t>101-12</t>
  </si>
  <si>
    <t>ПС №101</t>
  </si>
  <si>
    <t>104-1</t>
  </si>
  <si>
    <t>104-3</t>
  </si>
  <si>
    <t>104-4</t>
  </si>
  <si>
    <t>104-5</t>
  </si>
  <si>
    <t>104-6</t>
  </si>
  <si>
    <t>104-7</t>
  </si>
  <si>
    <t>104-8</t>
  </si>
  <si>
    <t>104-9</t>
  </si>
  <si>
    <t>104-10</t>
  </si>
  <si>
    <t>ПС №104</t>
  </si>
  <si>
    <t>105-8</t>
  </si>
  <si>
    <t>105-3</t>
  </si>
  <si>
    <t>105-4</t>
  </si>
  <si>
    <t>105-2-3</t>
  </si>
  <si>
    <t>105-6</t>
  </si>
  <si>
    <t>105-7</t>
  </si>
  <si>
    <t>ПС №105</t>
  </si>
  <si>
    <t>109-1</t>
  </si>
  <si>
    <t>109-2</t>
  </si>
  <si>
    <t>109-3</t>
  </si>
  <si>
    <t>109-4</t>
  </si>
  <si>
    <t>109-6</t>
  </si>
  <si>
    <t>109-7</t>
  </si>
  <si>
    <t>109-8</t>
  </si>
  <si>
    <t>109-9</t>
  </si>
  <si>
    <t>109-10</t>
  </si>
  <si>
    <t>ПС №109</t>
  </si>
  <si>
    <t>110-1</t>
  </si>
  <si>
    <t>110-2</t>
  </si>
  <si>
    <t>110-3</t>
  </si>
  <si>
    <t>110-4</t>
  </si>
  <si>
    <t>ПС №110</t>
  </si>
  <si>
    <t>ПС № 102</t>
  </si>
  <si>
    <t>ПС № 106</t>
  </si>
  <si>
    <t>РП6-1</t>
  </si>
  <si>
    <t>РП-2</t>
  </si>
  <si>
    <t>РП-6</t>
  </si>
  <si>
    <t>РП7-7</t>
  </si>
  <si>
    <t>РП7-13</t>
  </si>
  <si>
    <t>РП7-6</t>
  </si>
  <si>
    <t>РП7-11</t>
  </si>
  <si>
    <t>РП7-14</t>
  </si>
  <si>
    <t>РП-7</t>
  </si>
  <si>
    <t>РП9-1</t>
  </si>
  <si>
    <t>РП9-2</t>
  </si>
  <si>
    <t>РП9-3</t>
  </si>
  <si>
    <t>РП9-4</t>
  </si>
  <si>
    <t>РП-9</t>
  </si>
  <si>
    <t>РП10-3</t>
  </si>
  <si>
    <t>РП10-4</t>
  </si>
  <si>
    <t>РП10-5</t>
  </si>
  <si>
    <t>РП10-6</t>
  </si>
  <si>
    <t>РП-10</t>
  </si>
  <si>
    <t xml:space="preserve">итого </t>
  </si>
  <si>
    <t>на 1.01.10</t>
  </si>
  <si>
    <t>разница</t>
  </si>
  <si>
    <t>на 1.10.11</t>
  </si>
  <si>
    <t>ОПОРЫ потреб. и РЭС</t>
  </si>
  <si>
    <t>на 1.12.11</t>
  </si>
  <si>
    <t>на 1.01.11</t>
  </si>
  <si>
    <t>№/№ п/п</t>
  </si>
  <si>
    <t>Резерв мощности (МВт)</t>
  </si>
  <si>
    <t>Номер фидера</t>
  </si>
  <si>
    <t xml:space="preserve">Резерв мощности в электрических сетях 6 кВ                                                                                       МУПЭС г. Дивногорск </t>
  </si>
  <si>
    <t>ПС №109 "Гидростроителей" (зоны действия- г. Дивногорск, восточная промышленная зона)</t>
  </si>
  <si>
    <t>ПС №110 "Комсомольская" (зоны действия - г. Дивногорск)</t>
  </si>
  <si>
    <t>ПС №105 "Овсянка" (зоны действия - п. Усть-Мана, с. Овсянка, п. Слизнево, п. Молодежный, п. Манский)</t>
  </si>
  <si>
    <t>ПС №104 "Чкаловская" (зоны действия - г. Дивногорск)</t>
  </si>
  <si>
    <t>ПС №101 "Дивногорская" (зоны действия - г. Дивногорск, западная промышленная зона)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</si>
</sst>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2" xfId="0" applyBorder="1" applyAlignment="1">
      <alignment/>
    </xf>
    <xf numFmtId="0" fontId="3" fillId="0" borderId="1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right"/>
    </xf>
    <xf numFmtId="0" fontId="2" fillId="34" borderId="19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38" borderId="12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1" fillId="38" borderId="10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188" fontId="1" fillId="38" borderId="10" xfId="0" applyNumberFormat="1" applyFont="1" applyFill="1" applyBorder="1" applyAlignment="1">
      <alignment horizontal="center" wrapText="1"/>
    </xf>
    <xf numFmtId="188" fontId="1" fillId="38" borderId="11" xfId="0" applyNumberFormat="1" applyFont="1" applyFill="1" applyBorder="1" applyAlignment="1">
      <alignment horizontal="center" wrapText="1"/>
    </xf>
    <xf numFmtId="188" fontId="1" fillId="38" borderId="13" xfId="0" applyNumberFormat="1" applyFont="1" applyFill="1" applyBorder="1" applyAlignment="1">
      <alignment horizontal="center" wrapText="1"/>
    </xf>
    <xf numFmtId="188" fontId="1" fillId="38" borderId="15" xfId="0" applyNumberFormat="1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7" fillId="38" borderId="0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49" fontId="2" fillId="38" borderId="29" xfId="0" applyNumberFormat="1" applyFont="1" applyFill="1" applyBorder="1" applyAlignment="1">
      <alignment horizontal="center" vertical="center" wrapText="1"/>
    </xf>
    <xf numFmtId="49" fontId="2" fillId="38" borderId="0" xfId="0" applyNumberFormat="1" applyFont="1" applyFill="1" applyBorder="1" applyAlignment="1">
      <alignment horizontal="center" vertical="center" wrapText="1"/>
    </xf>
    <xf numFmtId="49" fontId="2" fillId="38" borderId="30" xfId="0" applyNumberFormat="1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2" fillId="38" borderId="32" xfId="0" applyFont="1" applyFill="1" applyBorder="1" applyAlignment="1">
      <alignment horizontal="center" vertical="center" wrapText="1"/>
    </xf>
    <xf numFmtId="0" fontId="2" fillId="38" borderId="33" xfId="0" applyFont="1" applyFill="1" applyBorder="1" applyAlignment="1">
      <alignment horizontal="center" vertical="center" wrapText="1"/>
    </xf>
    <xf numFmtId="0" fontId="2" fillId="38" borderId="34" xfId="0" applyFont="1" applyFill="1" applyBorder="1" applyAlignment="1">
      <alignment horizontal="center" vertical="center" wrapText="1"/>
    </xf>
    <xf numFmtId="0" fontId="2" fillId="38" borderId="35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zoomScale="75" zoomScaleNormal="75" zoomScalePageLayoutView="0" workbookViewId="0" topLeftCell="A25">
      <selection activeCell="A12" sqref="A12:P12"/>
    </sheetView>
  </sheetViews>
  <sheetFormatPr defaultColWidth="9.140625" defaultRowHeight="12.75"/>
  <sheetData>
    <row r="1" spans="1:16" ht="12.75">
      <c r="A1" s="1"/>
      <c r="B1" s="2"/>
      <c r="C1" s="76" t="s">
        <v>0</v>
      </c>
      <c r="D1" s="76"/>
      <c r="E1" s="76"/>
      <c r="F1" s="76"/>
      <c r="G1" s="74" t="s">
        <v>1</v>
      </c>
      <c r="H1" s="77"/>
      <c r="I1" s="75"/>
      <c r="J1" s="74" t="s">
        <v>2</v>
      </c>
      <c r="K1" s="77"/>
      <c r="L1" s="75"/>
      <c r="M1" s="74" t="s">
        <v>3</v>
      </c>
      <c r="N1" s="75"/>
      <c r="O1" s="74" t="s">
        <v>4</v>
      </c>
      <c r="P1" s="75"/>
    </row>
    <row r="2" spans="1:16" ht="25.5">
      <c r="A2" s="2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6" t="s">
        <v>10</v>
      </c>
      <c r="G2" s="5" t="s">
        <v>11</v>
      </c>
      <c r="H2" s="5" t="s">
        <v>12</v>
      </c>
      <c r="I2" s="5" t="s">
        <v>13</v>
      </c>
      <c r="J2" s="5" t="s">
        <v>11</v>
      </c>
      <c r="K2" s="5" t="s">
        <v>12</v>
      </c>
      <c r="L2" s="5" t="s">
        <v>13</v>
      </c>
      <c r="M2" s="7" t="s">
        <v>14</v>
      </c>
      <c r="N2" s="5" t="s">
        <v>15</v>
      </c>
      <c r="O2" s="7" t="s">
        <v>14</v>
      </c>
      <c r="P2" s="5" t="s">
        <v>15</v>
      </c>
    </row>
    <row r="3" spans="1:16" ht="12.75">
      <c r="A3" s="3">
        <v>1</v>
      </c>
      <c r="B3" s="8" t="s">
        <v>16</v>
      </c>
      <c r="C3" s="2">
        <v>0.34</v>
      </c>
      <c r="D3" s="2"/>
      <c r="E3" s="2">
        <v>0.35</v>
      </c>
      <c r="F3" s="2">
        <v>0.07</v>
      </c>
      <c r="G3" s="2">
        <v>6</v>
      </c>
      <c r="H3" s="2"/>
      <c r="I3" s="2"/>
      <c r="J3" s="2"/>
      <c r="K3" s="2"/>
      <c r="L3" s="2"/>
      <c r="M3" s="2">
        <f aca="true" t="shared" si="0" ref="M3:M44">C3+E3</f>
        <v>0.69</v>
      </c>
      <c r="N3" s="2">
        <f aca="true" t="shared" si="1" ref="N3:N43">G3+H3+I3</f>
        <v>6</v>
      </c>
      <c r="O3" s="2">
        <f aca="true" t="shared" si="2" ref="O3:O42">D3+F3</f>
        <v>0.07</v>
      </c>
      <c r="P3" s="2">
        <f aca="true" t="shared" si="3" ref="P3:P42">J3+K3+L3</f>
        <v>0</v>
      </c>
    </row>
    <row r="4" spans="1:16" ht="12.75">
      <c r="A4" s="3">
        <f aca="true" t="shared" si="4" ref="A4:A11">A3+1</f>
        <v>2</v>
      </c>
      <c r="B4" s="8" t="s">
        <v>17</v>
      </c>
      <c r="C4" s="2">
        <v>4.364</v>
      </c>
      <c r="D4" s="2">
        <v>0.135</v>
      </c>
      <c r="E4" s="2">
        <f>0.26+0.03</f>
        <v>0.29000000000000004</v>
      </c>
      <c r="F4" s="2"/>
      <c r="G4" s="2">
        <v>72</v>
      </c>
      <c r="H4" s="2">
        <v>13</v>
      </c>
      <c r="I4" s="2"/>
      <c r="J4" s="2">
        <v>1</v>
      </c>
      <c r="K4" s="2">
        <v>1</v>
      </c>
      <c r="L4" s="2"/>
      <c r="M4" s="2">
        <f t="shared" si="0"/>
        <v>4.654</v>
      </c>
      <c r="N4" s="2">
        <f t="shared" si="1"/>
        <v>85</v>
      </c>
      <c r="O4" s="2">
        <f t="shared" si="2"/>
        <v>0.135</v>
      </c>
      <c r="P4" s="2">
        <f t="shared" si="3"/>
        <v>2</v>
      </c>
    </row>
    <row r="5" spans="1:16" ht="12.75">
      <c r="A5" s="3">
        <f t="shared" si="4"/>
        <v>3</v>
      </c>
      <c r="B5" s="8" t="s">
        <v>18</v>
      </c>
      <c r="C5" s="2">
        <v>1.481</v>
      </c>
      <c r="D5" s="2"/>
      <c r="E5" s="2">
        <f>0.245-0.18</f>
        <v>0.065</v>
      </c>
      <c r="F5" s="2">
        <f>0.08+0.18</f>
        <v>0.26</v>
      </c>
      <c r="G5" s="2">
        <v>3</v>
      </c>
      <c r="H5" s="2">
        <v>27</v>
      </c>
      <c r="I5" s="2"/>
      <c r="J5" s="2"/>
      <c r="K5" s="2"/>
      <c r="L5" s="2"/>
      <c r="M5" s="2">
        <f t="shared" si="0"/>
        <v>1.546</v>
      </c>
      <c r="N5" s="2">
        <f t="shared" si="1"/>
        <v>30</v>
      </c>
      <c r="O5" s="2">
        <f t="shared" si="2"/>
        <v>0.26</v>
      </c>
      <c r="P5" s="2">
        <f t="shared" si="3"/>
        <v>0</v>
      </c>
    </row>
    <row r="6" spans="1:16" ht="12.75">
      <c r="A6" s="3">
        <f t="shared" si="4"/>
        <v>4</v>
      </c>
      <c r="B6" s="8" t="s">
        <v>19</v>
      </c>
      <c r="C6" s="2">
        <v>1.238</v>
      </c>
      <c r="D6" s="2">
        <v>0.12</v>
      </c>
      <c r="E6" s="2">
        <v>0.02</v>
      </c>
      <c r="F6" s="2">
        <v>0.15</v>
      </c>
      <c r="G6" s="2">
        <v>19</v>
      </c>
      <c r="H6" s="2"/>
      <c r="I6" s="2"/>
      <c r="J6" s="2"/>
      <c r="K6" s="2"/>
      <c r="L6" s="2"/>
      <c r="M6" s="2">
        <f t="shared" si="0"/>
        <v>1.258</v>
      </c>
      <c r="N6" s="2">
        <f t="shared" si="1"/>
        <v>19</v>
      </c>
      <c r="O6" s="2">
        <f t="shared" si="2"/>
        <v>0.27</v>
      </c>
      <c r="P6" s="2">
        <f t="shared" si="3"/>
        <v>0</v>
      </c>
    </row>
    <row r="7" spans="1:16" ht="12.75">
      <c r="A7" s="3">
        <f t="shared" si="4"/>
        <v>5</v>
      </c>
      <c r="B7" s="8" t="s">
        <v>20</v>
      </c>
      <c r="C7" s="2">
        <v>1.545</v>
      </c>
      <c r="D7" s="2"/>
      <c r="E7" s="2">
        <v>1.1</v>
      </c>
      <c r="F7" s="2">
        <v>0.15</v>
      </c>
      <c r="G7" s="2">
        <v>10</v>
      </c>
      <c r="H7" s="2">
        <v>1</v>
      </c>
      <c r="I7" s="2"/>
      <c r="J7" s="2"/>
      <c r="K7" s="2"/>
      <c r="L7" s="2"/>
      <c r="M7" s="2">
        <f t="shared" si="0"/>
        <v>2.645</v>
      </c>
      <c r="N7" s="2">
        <f t="shared" si="1"/>
        <v>11</v>
      </c>
      <c r="O7" s="2">
        <f t="shared" si="2"/>
        <v>0.15</v>
      </c>
      <c r="P7" s="2">
        <f t="shared" si="3"/>
        <v>0</v>
      </c>
    </row>
    <row r="8" spans="1:16" ht="12.75">
      <c r="A8" s="3">
        <f t="shared" si="4"/>
        <v>6</v>
      </c>
      <c r="B8" s="8" t="s">
        <v>21</v>
      </c>
      <c r="C8" s="2">
        <v>1.531</v>
      </c>
      <c r="D8" s="2">
        <v>0.06</v>
      </c>
      <c r="E8" s="2">
        <v>1.175</v>
      </c>
      <c r="F8" s="2">
        <v>0.1</v>
      </c>
      <c r="G8" s="2">
        <v>33</v>
      </c>
      <c r="H8" s="2">
        <v>4</v>
      </c>
      <c r="I8" s="2">
        <v>2</v>
      </c>
      <c r="J8" s="2"/>
      <c r="K8" s="2">
        <v>1</v>
      </c>
      <c r="L8" s="2"/>
      <c r="M8" s="2">
        <f t="shared" si="0"/>
        <v>2.706</v>
      </c>
      <c r="N8" s="2">
        <f t="shared" si="1"/>
        <v>39</v>
      </c>
      <c r="O8" s="2">
        <f t="shared" si="2"/>
        <v>0.16</v>
      </c>
      <c r="P8" s="2">
        <f t="shared" si="3"/>
        <v>1</v>
      </c>
    </row>
    <row r="9" spans="1:16" ht="12.75">
      <c r="A9" s="3">
        <f t="shared" si="4"/>
        <v>7</v>
      </c>
      <c r="B9" s="8" t="s">
        <v>22</v>
      </c>
      <c r="C9" s="2">
        <f>2.199+0.133</f>
        <v>2.332</v>
      </c>
      <c r="D9" s="2">
        <v>0.01</v>
      </c>
      <c r="E9" s="2">
        <f>0.054+0.04</f>
        <v>0.094</v>
      </c>
      <c r="F9" s="2">
        <v>0.08</v>
      </c>
      <c r="G9" s="2">
        <f>29+2</f>
        <v>31</v>
      </c>
      <c r="H9" s="2">
        <v>13</v>
      </c>
      <c r="I9" s="2">
        <v>0</v>
      </c>
      <c r="J9" s="2"/>
      <c r="K9" s="2"/>
      <c r="L9" s="2"/>
      <c r="M9" s="2">
        <f t="shared" si="0"/>
        <v>2.4259999999999997</v>
      </c>
      <c r="N9" s="2">
        <f t="shared" si="1"/>
        <v>44</v>
      </c>
      <c r="O9" s="2">
        <f t="shared" si="2"/>
        <v>0.09</v>
      </c>
      <c r="P9" s="2">
        <f t="shared" si="3"/>
        <v>0</v>
      </c>
    </row>
    <row r="10" spans="1:16" ht="12.75">
      <c r="A10" s="3">
        <f t="shared" si="4"/>
        <v>8</v>
      </c>
      <c r="B10" s="8" t="s">
        <v>23</v>
      </c>
      <c r="C10" s="2">
        <v>1.149</v>
      </c>
      <c r="D10" s="2"/>
      <c r="E10" s="2">
        <v>0.26</v>
      </c>
      <c r="F10" s="2"/>
      <c r="G10" s="2">
        <v>19</v>
      </c>
      <c r="H10" s="2"/>
      <c r="I10" s="2"/>
      <c r="J10" s="2"/>
      <c r="K10" s="2"/>
      <c r="L10" s="2"/>
      <c r="M10" s="2">
        <f t="shared" si="0"/>
        <v>1.409</v>
      </c>
      <c r="N10" s="2">
        <f t="shared" si="1"/>
        <v>19</v>
      </c>
      <c r="O10" s="2">
        <f t="shared" si="2"/>
        <v>0</v>
      </c>
      <c r="P10" s="2">
        <f t="shared" si="3"/>
        <v>0</v>
      </c>
    </row>
    <row r="11" spans="1:16" ht="13.5" thickBot="1">
      <c r="A11" s="9">
        <f t="shared" si="4"/>
        <v>9</v>
      </c>
      <c r="B11" s="10" t="s">
        <v>24</v>
      </c>
      <c r="C11" s="11">
        <v>1.338</v>
      </c>
      <c r="D11" s="11"/>
      <c r="E11" s="11">
        <v>0.26</v>
      </c>
      <c r="F11" s="11">
        <v>0.192</v>
      </c>
      <c r="G11" s="12">
        <v>20</v>
      </c>
      <c r="H11" s="11"/>
      <c r="I11" s="11"/>
      <c r="J11" s="11"/>
      <c r="K11" s="11"/>
      <c r="L11" s="11"/>
      <c r="M11" s="2">
        <f t="shared" si="0"/>
        <v>1.598</v>
      </c>
      <c r="N11" s="11">
        <f t="shared" si="1"/>
        <v>20</v>
      </c>
      <c r="O11" s="11">
        <f t="shared" si="2"/>
        <v>0.192</v>
      </c>
      <c r="P11" s="11">
        <f t="shared" si="3"/>
        <v>0</v>
      </c>
    </row>
    <row r="12" spans="1:16" s="13" customFormat="1" ht="15.75" thickBot="1">
      <c r="A12" s="37"/>
      <c r="B12" s="51" t="s">
        <v>25</v>
      </c>
      <c r="C12" s="52">
        <f aca="true" t="shared" si="5" ref="C12:L12">SUM(C3:C11)</f>
        <v>15.318000000000001</v>
      </c>
      <c r="D12" s="52">
        <f t="shared" si="5"/>
        <v>0.325</v>
      </c>
      <c r="E12" s="52">
        <f t="shared" si="5"/>
        <v>3.614</v>
      </c>
      <c r="F12" s="52">
        <f t="shared" si="5"/>
        <v>1.002</v>
      </c>
      <c r="G12" s="52">
        <f t="shared" si="5"/>
        <v>213</v>
      </c>
      <c r="H12" s="52">
        <f t="shared" si="5"/>
        <v>58</v>
      </c>
      <c r="I12" s="52">
        <f t="shared" si="5"/>
        <v>2</v>
      </c>
      <c r="J12" s="52">
        <f t="shared" si="5"/>
        <v>1</v>
      </c>
      <c r="K12" s="52">
        <f t="shared" si="5"/>
        <v>2</v>
      </c>
      <c r="L12" s="52">
        <f t="shared" si="5"/>
        <v>0</v>
      </c>
      <c r="M12" s="27">
        <f t="shared" si="0"/>
        <v>18.932000000000002</v>
      </c>
      <c r="N12" s="27">
        <f t="shared" si="1"/>
        <v>273</v>
      </c>
      <c r="O12" s="27">
        <f t="shared" si="2"/>
        <v>1.327</v>
      </c>
      <c r="P12" s="28">
        <f t="shared" si="3"/>
        <v>3</v>
      </c>
    </row>
    <row r="13" spans="1:16" ht="12.75">
      <c r="A13" s="14">
        <v>1</v>
      </c>
      <c r="B13" s="15" t="s">
        <v>26</v>
      </c>
      <c r="C13" s="16">
        <v>2.964</v>
      </c>
      <c r="D13" s="16">
        <v>0.29</v>
      </c>
      <c r="E13" s="16">
        <v>2.493</v>
      </c>
      <c r="F13" s="16">
        <v>0.263</v>
      </c>
      <c r="G13" s="17">
        <v>57</v>
      </c>
      <c r="H13" s="17">
        <v>1</v>
      </c>
      <c r="I13" s="16"/>
      <c r="J13" s="16">
        <v>6</v>
      </c>
      <c r="K13" s="16"/>
      <c r="L13" s="16"/>
      <c r="M13" s="16">
        <f t="shared" si="0"/>
        <v>5.457</v>
      </c>
      <c r="N13" s="18">
        <f t="shared" si="1"/>
        <v>58</v>
      </c>
      <c r="O13" s="18">
        <f t="shared" si="2"/>
        <v>0.5529999999999999</v>
      </c>
      <c r="P13" s="18">
        <f t="shared" si="3"/>
        <v>6</v>
      </c>
    </row>
    <row r="14" spans="1:16" ht="12.75">
      <c r="A14" s="3">
        <f aca="true" t="shared" si="6" ref="A14:A21">A13+1</f>
        <v>2</v>
      </c>
      <c r="B14" s="8" t="s">
        <v>27</v>
      </c>
      <c r="C14" s="2">
        <v>3.62</v>
      </c>
      <c r="D14" s="2"/>
      <c r="E14" s="2">
        <v>2.23</v>
      </c>
      <c r="F14" s="2">
        <v>0.08</v>
      </c>
      <c r="G14" s="2">
        <v>71</v>
      </c>
      <c r="H14" s="2"/>
      <c r="I14" s="2"/>
      <c r="J14" s="2"/>
      <c r="K14" s="2"/>
      <c r="L14" s="2"/>
      <c r="M14" s="2">
        <f t="shared" si="0"/>
        <v>5.85</v>
      </c>
      <c r="N14" s="11">
        <f t="shared" si="1"/>
        <v>71</v>
      </c>
      <c r="O14" s="11">
        <f t="shared" si="2"/>
        <v>0.08</v>
      </c>
      <c r="P14" s="11">
        <f t="shared" si="3"/>
        <v>0</v>
      </c>
    </row>
    <row r="15" spans="1:16" ht="12.75">
      <c r="A15" s="3">
        <f t="shared" si="6"/>
        <v>3</v>
      </c>
      <c r="B15" s="8" t="s">
        <v>28</v>
      </c>
      <c r="C15" s="2">
        <v>2.463</v>
      </c>
      <c r="D15" s="2">
        <v>0.26</v>
      </c>
      <c r="E15" s="2">
        <v>3.298</v>
      </c>
      <c r="F15" s="2">
        <v>0.58</v>
      </c>
      <c r="G15" s="2">
        <v>52</v>
      </c>
      <c r="H15" s="2"/>
      <c r="I15" s="2"/>
      <c r="J15" s="2">
        <v>4</v>
      </c>
      <c r="K15" s="2"/>
      <c r="L15" s="2"/>
      <c r="M15" s="2">
        <f t="shared" si="0"/>
        <v>5.761</v>
      </c>
      <c r="N15" s="11">
        <f t="shared" si="1"/>
        <v>52</v>
      </c>
      <c r="O15" s="11">
        <f t="shared" si="2"/>
        <v>0.84</v>
      </c>
      <c r="P15" s="11">
        <f t="shared" si="3"/>
        <v>4</v>
      </c>
    </row>
    <row r="16" spans="1:16" ht="12.75">
      <c r="A16" s="3">
        <f t="shared" si="6"/>
        <v>4</v>
      </c>
      <c r="B16" s="8" t="s">
        <v>29</v>
      </c>
      <c r="C16" s="19">
        <f>3.549+0.25-0.512+0.084+0.11+0.335</f>
        <v>3.816</v>
      </c>
      <c r="D16" s="2">
        <f>0.355-0.25</f>
        <v>0.10499999999999998</v>
      </c>
      <c r="E16" s="2">
        <f>2.45+0.05</f>
        <v>2.5</v>
      </c>
      <c r="F16" s="2">
        <v>0.09</v>
      </c>
      <c r="G16" s="19">
        <f>39-6+2+1+7</f>
        <v>43</v>
      </c>
      <c r="H16" s="19">
        <f>30-1</f>
        <v>29</v>
      </c>
      <c r="I16" s="2">
        <v>1</v>
      </c>
      <c r="J16" s="2">
        <v>1</v>
      </c>
      <c r="K16" s="2">
        <f>6-5</f>
        <v>1</v>
      </c>
      <c r="L16" s="2"/>
      <c r="M16" s="2">
        <f t="shared" si="0"/>
        <v>6.316</v>
      </c>
      <c r="N16" s="11">
        <f t="shared" si="1"/>
        <v>73</v>
      </c>
      <c r="O16" s="11">
        <f t="shared" si="2"/>
        <v>0.19499999999999998</v>
      </c>
      <c r="P16" s="11">
        <f t="shared" si="3"/>
        <v>2</v>
      </c>
    </row>
    <row r="17" spans="1:16" ht="12.75">
      <c r="A17" s="3">
        <f t="shared" si="6"/>
        <v>5</v>
      </c>
      <c r="B17" s="8" t="s">
        <v>30</v>
      </c>
      <c r="C17" s="2">
        <v>2.007</v>
      </c>
      <c r="D17" s="2"/>
      <c r="E17" s="2">
        <v>1.305</v>
      </c>
      <c r="F17" s="2">
        <v>0.05</v>
      </c>
      <c r="G17" s="2">
        <v>43</v>
      </c>
      <c r="H17" s="2"/>
      <c r="I17" s="2"/>
      <c r="J17" s="2"/>
      <c r="K17" s="2"/>
      <c r="L17" s="2"/>
      <c r="M17" s="2">
        <f t="shared" si="0"/>
        <v>3.3120000000000003</v>
      </c>
      <c r="N17" s="11">
        <f t="shared" si="1"/>
        <v>43</v>
      </c>
      <c r="O17" s="11">
        <f t="shared" si="2"/>
        <v>0.05</v>
      </c>
      <c r="P17" s="11">
        <f t="shared" si="3"/>
        <v>0</v>
      </c>
    </row>
    <row r="18" spans="1:16" ht="12.75">
      <c r="A18" s="3">
        <f t="shared" si="6"/>
        <v>6</v>
      </c>
      <c r="B18" s="8" t="s">
        <v>31</v>
      </c>
      <c r="C18" s="2">
        <v>1.912</v>
      </c>
      <c r="D18" s="2"/>
      <c r="E18" s="2">
        <f>0.07+0.03</f>
        <v>0.1</v>
      </c>
      <c r="F18" s="2"/>
      <c r="G18" s="2">
        <v>25</v>
      </c>
      <c r="H18" s="2"/>
      <c r="I18" s="2"/>
      <c r="J18" s="2"/>
      <c r="K18" s="2"/>
      <c r="L18" s="2"/>
      <c r="M18" s="2">
        <f t="shared" si="0"/>
        <v>2.012</v>
      </c>
      <c r="N18" s="11">
        <f t="shared" si="1"/>
        <v>25</v>
      </c>
      <c r="O18" s="11">
        <f t="shared" si="2"/>
        <v>0</v>
      </c>
      <c r="P18" s="11">
        <f t="shared" si="3"/>
        <v>0</v>
      </c>
    </row>
    <row r="19" spans="1:16" ht="12.75">
      <c r="A19" s="3">
        <f t="shared" si="6"/>
        <v>7</v>
      </c>
      <c r="B19" s="8" t="s">
        <v>32</v>
      </c>
      <c r="C19" s="2">
        <v>2.232</v>
      </c>
      <c r="D19" s="2"/>
      <c r="E19" s="2">
        <v>1.22</v>
      </c>
      <c r="F19" s="2">
        <v>0.09</v>
      </c>
      <c r="G19" s="2">
        <v>51</v>
      </c>
      <c r="H19" s="2"/>
      <c r="I19" s="2"/>
      <c r="J19" s="2"/>
      <c r="K19" s="2"/>
      <c r="L19" s="2"/>
      <c r="M19" s="2">
        <f t="shared" si="0"/>
        <v>3.452</v>
      </c>
      <c r="N19" s="11">
        <f t="shared" si="1"/>
        <v>51</v>
      </c>
      <c r="O19" s="11">
        <f t="shared" si="2"/>
        <v>0.09</v>
      </c>
      <c r="P19" s="11">
        <f t="shared" si="3"/>
        <v>0</v>
      </c>
    </row>
    <row r="20" spans="1:16" ht="12.75">
      <c r="A20" s="3">
        <f t="shared" si="6"/>
        <v>8</v>
      </c>
      <c r="B20" s="8" t="s">
        <v>33</v>
      </c>
      <c r="C20" s="2"/>
      <c r="D20" s="2"/>
      <c r="E20" s="2">
        <v>1.27</v>
      </c>
      <c r="F20" s="2"/>
      <c r="G20" s="2"/>
      <c r="H20" s="2"/>
      <c r="I20" s="2"/>
      <c r="J20" s="2"/>
      <c r="K20" s="2"/>
      <c r="L20" s="2"/>
      <c r="M20" s="2">
        <f t="shared" si="0"/>
        <v>1.27</v>
      </c>
      <c r="N20" s="11">
        <f t="shared" si="1"/>
        <v>0</v>
      </c>
      <c r="O20" s="11">
        <f t="shared" si="2"/>
        <v>0</v>
      </c>
      <c r="P20" s="11">
        <f t="shared" si="3"/>
        <v>0</v>
      </c>
    </row>
    <row r="21" spans="1:16" ht="13.5" thickBot="1">
      <c r="A21" s="9">
        <f t="shared" si="6"/>
        <v>9</v>
      </c>
      <c r="B21" s="10" t="s">
        <v>34</v>
      </c>
      <c r="C21" s="11"/>
      <c r="D21" s="11"/>
      <c r="E21" s="11">
        <v>1.866</v>
      </c>
      <c r="F21" s="11"/>
      <c r="G21" s="11"/>
      <c r="H21" s="11"/>
      <c r="I21" s="11"/>
      <c r="J21" s="11"/>
      <c r="K21" s="11"/>
      <c r="L21" s="11"/>
      <c r="M21" s="11">
        <f t="shared" si="0"/>
        <v>1.866</v>
      </c>
      <c r="N21" s="11">
        <f t="shared" si="1"/>
        <v>0</v>
      </c>
      <c r="O21" s="11">
        <f t="shared" si="2"/>
        <v>0</v>
      </c>
      <c r="P21" s="11">
        <f t="shared" si="3"/>
        <v>0</v>
      </c>
    </row>
    <row r="22" spans="1:16" s="24" customFormat="1" ht="15.75" thickBot="1">
      <c r="A22" s="20"/>
      <c r="B22" s="21" t="s">
        <v>35</v>
      </c>
      <c r="C22" s="22">
        <f aca="true" t="shared" si="7" ref="C22:L22">SUM(C13:C21)</f>
        <v>19.014</v>
      </c>
      <c r="D22" s="22">
        <f t="shared" si="7"/>
        <v>0.655</v>
      </c>
      <c r="E22" s="22">
        <f t="shared" si="7"/>
        <v>16.282</v>
      </c>
      <c r="F22" s="22">
        <f t="shared" si="7"/>
        <v>1.1530000000000002</v>
      </c>
      <c r="G22" s="22">
        <f t="shared" si="7"/>
        <v>342</v>
      </c>
      <c r="H22" s="22">
        <f t="shared" si="7"/>
        <v>30</v>
      </c>
      <c r="I22" s="22">
        <f t="shared" si="7"/>
        <v>1</v>
      </c>
      <c r="J22" s="22">
        <f t="shared" si="7"/>
        <v>11</v>
      </c>
      <c r="K22" s="22">
        <f t="shared" si="7"/>
        <v>1</v>
      </c>
      <c r="L22" s="22">
        <f t="shared" si="7"/>
        <v>0</v>
      </c>
      <c r="M22" s="22">
        <f t="shared" si="0"/>
        <v>35.296</v>
      </c>
      <c r="N22" s="22">
        <f t="shared" si="1"/>
        <v>373</v>
      </c>
      <c r="O22" s="22">
        <f t="shared" si="2"/>
        <v>1.8080000000000003</v>
      </c>
      <c r="P22" s="23">
        <f t="shared" si="3"/>
        <v>12</v>
      </c>
    </row>
    <row r="23" spans="1:16" ht="12.75">
      <c r="A23" s="14">
        <v>1</v>
      </c>
      <c r="B23" s="15" t="s">
        <v>36</v>
      </c>
      <c r="C23" s="16">
        <v>8.316</v>
      </c>
      <c r="D23" s="16"/>
      <c r="E23" s="16">
        <v>0.22</v>
      </c>
      <c r="F23" s="16">
        <v>0.15</v>
      </c>
      <c r="G23" s="16">
        <f>96+9+2+1+4</f>
        <v>112</v>
      </c>
      <c r="H23" s="16">
        <f>45-9-2-1-4-1</f>
        <v>28</v>
      </c>
      <c r="I23" s="16"/>
      <c r="J23" s="16"/>
      <c r="K23" s="16"/>
      <c r="L23" s="16"/>
      <c r="M23" s="16">
        <f t="shared" si="0"/>
        <v>8.536000000000001</v>
      </c>
      <c r="N23" s="18">
        <f t="shared" si="1"/>
        <v>140</v>
      </c>
      <c r="O23" s="18">
        <f t="shared" si="2"/>
        <v>0.15</v>
      </c>
      <c r="P23" s="18">
        <f t="shared" si="3"/>
        <v>0</v>
      </c>
    </row>
    <row r="24" spans="1:16" ht="12.75">
      <c r="A24" s="3">
        <v>2</v>
      </c>
      <c r="B24" s="8" t="s">
        <v>37</v>
      </c>
      <c r="C24" s="2">
        <v>5.208</v>
      </c>
      <c r="D24" s="2"/>
      <c r="E24" s="2">
        <v>0.877</v>
      </c>
      <c r="F24" s="2"/>
      <c r="G24" s="2">
        <f>97+4</f>
        <v>101</v>
      </c>
      <c r="H24" s="2">
        <f>3-3</f>
        <v>0</v>
      </c>
      <c r="I24" s="2">
        <f>1-1</f>
        <v>0</v>
      </c>
      <c r="J24" s="2"/>
      <c r="K24" s="2"/>
      <c r="L24" s="2"/>
      <c r="M24" s="2">
        <f t="shared" si="0"/>
        <v>6.085</v>
      </c>
      <c r="N24" s="11">
        <f t="shared" si="1"/>
        <v>101</v>
      </c>
      <c r="O24" s="11">
        <f t="shared" si="2"/>
        <v>0</v>
      </c>
      <c r="P24" s="11">
        <f t="shared" si="3"/>
        <v>0</v>
      </c>
    </row>
    <row r="25" spans="1:16" ht="12.75">
      <c r="A25" s="3">
        <v>3</v>
      </c>
      <c r="B25" s="8" t="s">
        <v>38</v>
      </c>
      <c r="C25" s="2">
        <f>11.951+1</f>
        <v>12.951</v>
      </c>
      <c r="D25" s="2">
        <f>3.618-1</f>
        <v>2.618</v>
      </c>
      <c r="E25" s="2">
        <v>0.492</v>
      </c>
      <c r="F25" s="2">
        <v>0.1</v>
      </c>
      <c r="G25" s="19">
        <f>130+1+3+5+9+1+1+3+2+4</f>
        <v>159</v>
      </c>
      <c r="H25" s="19">
        <f>71-3-5-9-1-1-3-7+12</f>
        <v>54</v>
      </c>
      <c r="I25" s="2">
        <f>2-2</f>
        <v>0</v>
      </c>
      <c r="J25" s="2"/>
      <c r="K25" s="2">
        <f>72-12</f>
        <v>60</v>
      </c>
      <c r="L25" s="2"/>
      <c r="M25" s="2">
        <f t="shared" si="0"/>
        <v>13.443000000000001</v>
      </c>
      <c r="N25" s="11">
        <f t="shared" si="1"/>
        <v>213</v>
      </c>
      <c r="O25" s="11">
        <f t="shared" si="2"/>
        <v>2.718</v>
      </c>
      <c r="P25" s="11">
        <f t="shared" si="3"/>
        <v>60</v>
      </c>
    </row>
    <row r="26" spans="1:16" ht="12.75">
      <c r="A26" s="3">
        <v>4</v>
      </c>
      <c r="B26" s="8" t="s">
        <v>39</v>
      </c>
      <c r="C26" s="2">
        <v>0.534</v>
      </c>
      <c r="D26" s="2">
        <v>0.578</v>
      </c>
      <c r="E26" s="2">
        <v>0.02</v>
      </c>
      <c r="F26" s="2">
        <v>0.22</v>
      </c>
      <c r="G26" s="2">
        <v>11</v>
      </c>
      <c r="H26" s="2"/>
      <c r="I26" s="2"/>
      <c r="J26" s="2">
        <v>10</v>
      </c>
      <c r="K26" s="2">
        <v>2</v>
      </c>
      <c r="L26" s="2"/>
      <c r="M26" s="2">
        <f t="shared" si="0"/>
        <v>0.554</v>
      </c>
      <c r="N26" s="11">
        <f t="shared" si="1"/>
        <v>11</v>
      </c>
      <c r="O26" s="11">
        <f t="shared" si="2"/>
        <v>0.7979999999999999</v>
      </c>
      <c r="P26" s="11">
        <f t="shared" si="3"/>
        <v>12</v>
      </c>
    </row>
    <row r="27" spans="1:16" ht="12.75">
      <c r="A27" s="3">
        <v>5</v>
      </c>
      <c r="B27" s="8" t="s">
        <v>40</v>
      </c>
      <c r="C27" s="2">
        <v>2.3</v>
      </c>
      <c r="D27" s="2">
        <v>15.25</v>
      </c>
      <c r="E27" s="19">
        <f>0.19+0.09</f>
        <v>0.28</v>
      </c>
      <c r="F27" s="2">
        <v>0.295</v>
      </c>
      <c r="G27" s="2">
        <f>19+10+1+1+4</f>
        <v>35</v>
      </c>
      <c r="H27" s="19">
        <v>6</v>
      </c>
      <c r="I27" s="2">
        <v>1</v>
      </c>
      <c r="J27" s="2">
        <v>79</v>
      </c>
      <c r="K27" s="2">
        <v>138</v>
      </c>
      <c r="L27" s="2"/>
      <c r="M27" s="2">
        <f t="shared" si="0"/>
        <v>2.58</v>
      </c>
      <c r="N27" s="11">
        <f t="shared" si="1"/>
        <v>42</v>
      </c>
      <c r="O27" s="11">
        <f t="shared" si="2"/>
        <v>15.545</v>
      </c>
      <c r="P27" s="11">
        <f t="shared" si="3"/>
        <v>217</v>
      </c>
    </row>
    <row r="28" spans="1:16" ht="13.5" thickBot="1">
      <c r="A28" s="9">
        <v>6</v>
      </c>
      <c r="B28" s="10" t="s">
        <v>41</v>
      </c>
      <c r="C28" s="12">
        <f>8.81+0.11</f>
        <v>8.92</v>
      </c>
      <c r="D28" s="11">
        <f>15.416+0.48</f>
        <v>15.896</v>
      </c>
      <c r="E28" s="12">
        <f>0.29+0.035</f>
        <v>0.32499999999999996</v>
      </c>
      <c r="F28" s="11">
        <f>1.215+0.22</f>
        <v>1.435</v>
      </c>
      <c r="G28" s="12">
        <f>68+20+9+2</f>
        <v>99</v>
      </c>
      <c r="H28" s="11">
        <f>42-20</f>
        <v>22</v>
      </c>
      <c r="I28" s="11"/>
      <c r="J28" s="11">
        <f>32-9</f>
        <v>23</v>
      </c>
      <c r="K28" s="11">
        <f>166+10</f>
        <v>176</v>
      </c>
      <c r="L28" s="11">
        <v>5</v>
      </c>
      <c r="M28" s="11">
        <f t="shared" si="0"/>
        <v>9.245</v>
      </c>
      <c r="N28" s="11">
        <f t="shared" si="1"/>
        <v>121</v>
      </c>
      <c r="O28" s="11">
        <f t="shared" si="2"/>
        <v>17.331</v>
      </c>
      <c r="P28" s="11">
        <f t="shared" si="3"/>
        <v>204</v>
      </c>
    </row>
    <row r="29" spans="1:16" s="13" customFormat="1" ht="15.75" thickBot="1">
      <c r="A29" s="25"/>
      <c r="B29" s="26" t="s">
        <v>42</v>
      </c>
      <c r="C29" s="27">
        <f aca="true" t="shared" si="8" ref="C29:L29">SUM(C23:C28)</f>
        <v>38.229</v>
      </c>
      <c r="D29" s="27">
        <f t="shared" si="8"/>
        <v>34.342</v>
      </c>
      <c r="E29" s="27">
        <f t="shared" si="8"/>
        <v>2.214</v>
      </c>
      <c r="F29" s="27">
        <f t="shared" si="8"/>
        <v>2.2</v>
      </c>
      <c r="G29" s="27">
        <f t="shared" si="8"/>
        <v>517</v>
      </c>
      <c r="H29" s="27">
        <f t="shared" si="8"/>
        <v>110</v>
      </c>
      <c r="I29" s="27">
        <f t="shared" si="8"/>
        <v>1</v>
      </c>
      <c r="J29" s="27">
        <f t="shared" si="8"/>
        <v>112</v>
      </c>
      <c r="K29" s="27">
        <f t="shared" si="8"/>
        <v>376</v>
      </c>
      <c r="L29" s="27">
        <f t="shared" si="8"/>
        <v>5</v>
      </c>
      <c r="M29" s="27">
        <f t="shared" si="0"/>
        <v>40.443</v>
      </c>
      <c r="N29" s="27">
        <f t="shared" si="1"/>
        <v>628</v>
      </c>
      <c r="O29" s="27">
        <f t="shared" si="2"/>
        <v>36.542</v>
      </c>
      <c r="P29" s="28">
        <f t="shared" si="3"/>
        <v>493</v>
      </c>
    </row>
    <row r="30" spans="1:16" ht="12.75">
      <c r="A30" s="14">
        <v>1</v>
      </c>
      <c r="B30" s="15" t="s">
        <v>43</v>
      </c>
      <c r="C30" s="16"/>
      <c r="D30" s="16"/>
      <c r="E30" s="16">
        <v>2.63</v>
      </c>
      <c r="F30" s="16"/>
      <c r="G30" s="16"/>
      <c r="H30" s="16"/>
      <c r="I30" s="16"/>
      <c r="J30" s="16"/>
      <c r="K30" s="16"/>
      <c r="L30" s="16"/>
      <c r="M30" s="18">
        <f t="shared" si="0"/>
        <v>2.63</v>
      </c>
      <c r="N30" s="18">
        <f t="shared" si="1"/>
        <v>0</v>
      </c>
      <c r="O30" s="18">
        <f t="shared" si="2"/>
        <v>0</v>
      </c>
      <c r="P30" s="18">
        <f t="shared" si="3"/>
        <v>0</v>
      </c>
    </row>
    <row r="31" spans="1:16" ht="12.75">
      <c r="A31" s="3">
        <v>2</v>
      </c>
      <c r="B31" s="8" t="s">
        <v>44</v>
      </c>
      <c r="C31" s="2"/>
      <c r="D31" s="2"/>
      <c r="E31" s="2">
        <v>2.63</v>
      </c>
      <c r="F31" s="2"/>
      <c r="G31" s="2"/>
      <c r="H31" s="2"/>
      <c r="I31" s="2"/>
      <c r="J31" s="2"/>
      <c r="K31" s="2"/>
      <c r="L31" s="2"/>
      <c r="M31" s="2">
        <f t="shared" si="0"/>
        <v>2.63</v>
      </c>
      <c r="N31" s="11">
        <f t="shared" si="1"/>
        <v>0</v>
      </c>
      <c r="O31" s="11">
        <f t="shared" si="2"/>
        <v>0</v>
      </c>
      <c r="P31" s="11">
        <f t="shared" si="3"/>
        <v>0</v>
      </c>
    </row>
    <row r="32" spans="1:16" ht="12.75">
      <c r="A32" s="3">
        <v>3</v>
      </c>
      <c r="B32" s="8" t="s">
        <v>45</v>
      </c>
      <c r="C32" s="2"/>
      <c r="D32" s="2"/>
      <c r="E32" s="2">
        <v>1.235</v>
      </c>
      <c r="F32" s="2"/>
      <c r="G32" s="2"/>
      <c r="H32" s="2"/>
      <c r="I32" s="2"/>
      <c r="J32" s="2"/>
      <c r="K32" s="2"/>
      <c r="L32" s="2"/>
      <c r="M32" s="2">
        <f t="shared" si="0"/>
        <v>1.235</v>
      </c>
      <c r="N32" s="11">
        <f t="shared" si="1"/>
        <v>0</v>
      </c>
      <c r="O32" s="11">
        <f t="shared" si="2"/>
        <v>0</v>
      </c>
      <c r="P32" s="11">
        <f t="shared" si="3"/>
        <v>0</v>
      </c>
    </row>
    <row r="33" spans="1:16" ht="12.75">
      <c r="A33" s="3">
        <v>4</v>
      </c>
      <c r="B33" s="8" t="s">
        <v>46</v>
      </c>
      <c r="C33" s="2"/>
      <c r="D33" s="2"/>
      <c r="E33" s="2">
        <v>1.235</v>
      </c>
      <c r="F33" s="2"/>
      <c r="G33" s="2"/>
      <c r="H33" s="2"/>
      <c r="I33" s="2"/>
      <c r="J33" s="2"/>
      <c r="K33" s="2"/>
      <c r="L33" s="2"/>
      <c r="M33" s="2">
        <f t="shared" si="0"/>
        <v>1.235</v>
      </c>
      <c r="N33" s="11">
        <f t="shared" si="1"/>
        <v>0</v>
      </c>
      <c r="O33" s="11">
        <f t="shared" si="2"/>
        <v>0</v>
      </c>
      <c r="P33" s="11">
        <f t="shared" si="3"/>
        <v>0</v>
      </c>
    </row>
    <row r="34" spans="1:16" ht="12.75">
      <c r="A34" s="3">
        <v>5</v>
      </c>
      <c r="B34" s="8" t="s">
        <v>47</v>
      </c>
      <c r="C34" s="2"/>
      <c r="D34" s="2"/>
      <c r="E34" s="2">
        <v>0.46</v>
      </c>
      <c r="F34" s="2"/>
      <c r="G34" s="2"/>
      <c r="H34" s="2"/>
      <c r="I34" s="2"/>
      <c r="J34" s="2"/>
      <c r="K34" s="2"/>
      <c r="L34" s="2"/>
      <c r="M34" s="2">
        <f t="shared" si="0"/>
        <v>0.46</v>
      </c>
      <c r="N34" s="11">
        <f t="shared" si="1"/>
        <v>0</v>
      </c>
      <c r="O34" s="11">
        <f t="shared" si="2"/>
        <v>0</v>
      </c>
      <c r="P34" s="11">
        <f t="shared" si="3"/>
        <v>0</v>
      </c>
    </row>
    <row r="35" spans="1:16" ht="12.75">
      <c r="A35" s="3">
        <v>6</v>
      </c>
      <c r="B35" s="8" t="s">
        <v>48</v>
      </c>
      <c r="C35" s="2"/>
      <c r="D35" s="2"/>
      <c r="E35" s="2">
        <v>1.35</v>
      </c>
      <c r="F35" s="2"/>
      <c r="G35" s="2"/>
      <c r="H35" s="2"/>
      <c r="I35" s="2"/>
      <c r="J35" s="2"/>
      <c r="K35" s="2"/>
      <c r="L35" s="2"/>
      <c r="M35" s="2">
        <f t="shared" si="0"/>
        <v>1.35</v>
      </c>
      <c r="N35" s="11">
        <f t="shared" si="1"/>
        <v>0</v>
      </c>
      <c r="O35" s="11">
        <f t="shared" si="2"/>
        <v>0</v>
      </c>
      <c r="P35" s="11">
        <f t="shared" si="3"/>
        <v>0</v>
      </c>
    </row>
    <row r="36" spans="1:16" ht="12.75">
      <c r="A36" s="3">
        <v>7</v>
      </c>
      <c r="B36" s="8" t="s">
        <v>49</v>
      </c>
      <c r="C36" s="2">
        <v>3.62</v>
      </c>
      <c r="D36" s="2">
        <v>0.45</v>
      </c>
      <c r="E36" s="2">
        <v>1.096</v>
      </c>
      <c r="F36" s="2">
        <v>0.138</v>
      </c>
      <c r="G36" s="2">
        <v>67</v>
      </c>
      <c r="H36" s="2">
        <v>4</v>
      </c>
      <c r="I36" s="2"/>
      <c r="J36" s="2">
        <v>9</v>
      </c>
      <c r="K36" s="2"/>
      <c r="L36" s="2"/>
      <c r="M36" s="2">
        <f t="shared" si="0"/>
        <v>4.716</v>
      </c>
      <c r="N36" s="11">
        <f t="shared" si="1"/>
        <v>71</v>
      </c>
      <c r="O36" s="11">
        <f t="shared" si="2"/>
        <v>0.5880000000000001</v>
      </c>
      <c r="P36" s="11">
        <f t="shared" si="3"/>
        <v>9</v>
      </c>
    </row>
    <row r="37" spans="1:16" ht="12.75">
      <c r="A37" s="3">
        <v>8</v>
      </c>
      <c r="B37" s="8" t="s">
        <v>50</v>
      </c>
      <c r="C37" s="2"/>
      <c r="D37" s="2"/>
      <c r="E37" s="2">
        <v>0.49</v>
      </c>
      <c r="F37" s="2"/>
      <c r="G37" s="2"/>
      <c r="H37" s="2"/>
      <c r="I37" s="2"/>
      <c r="J37" s="2"/>
      <c r="K37" s="2"/>
      <c r="L37" s="2"/>
      <c r="M37" s="2">
        <f t="shared" si="0"/>
        <v>0.49</v>
      </c>
      <c r="N37" s="11">
        <f t="shared" si="1"/>
        <v>0</v>
      </c>
      <c r="O37" s="11">
        <f t="shared" si="2"/>
        <v>0</v>
      </c>
      <c r="P37" s="11">
        <f t="shared" si="3"/>
        <v>0</v>
      </c>
    </row>
    <row r="38" spans="1:16" ht="13.5" thickBot="1">
      <c r="A38" s="9">
        <v>9</v>
      </c>
      <c r="B38" s="10" t="s">
        <v>51</v>
      </c>
      <c r="C38" s="11">
        <v>0.41</v>
      </c>
      <c r="D38" s="11">
        <v>0.11</v>
      </c>
      <c r="E38" s="11">
        <v>1.148</v>
      </c>
      <c r="F38" s="11"/>
      <c r="G38" s="11">
        <v>8</v>
      </c>
      <c r="H38" s="11"/>
      <c r="I38" s="11"/>
      <c r="J38" s="11"/>
      <c r="K38" s="11">
        <v>3</v>
      </c>
      <c r="L38" s="11"/>
      <c r="M38" s="18">
        <f t="shared" si="0"/>
        <v>1.5579999999999998</v>
      </c>
      <c r="N38" s="11">
        <f t="shared" si="1"/>
        <v>8</v>
      </c>
      <c r="O38" s="11">
        <f t="shared" si="2"/>
        <v>0.11</v>
      </c>
      <c r="P38" s="11">
        <f t="shared" si="3"/>
        <v>3</v>
      </c>
    </row>
    <row r="39" spans="1:16" s="13" customFormat="1" ht="15.75" thickBot="1">
      <c r="A39" s="25"/>
      <c r="B39" s="26" t="s">
        <v>52</v>
      </c>
      <c r="C39" s="27">
        <f aca="true" t="shared" si="9" ref="C39:L39">SUM(C30:C38)</f>
        <v>4.03</v>
      </c>
      <c r="D39" s="27">
        <f t="shared" si="9"/>
        <v>0.56</v>
      </c>
      <c r="E39" s="27">
        <f t="shared" si="9"/>
        <v>12.274000000000001</v>
      </c>
      <c r="F39" s="27">
        <f t="shared" si="9"/>
        <v>0.138</v>
      </c>
      <c r="G39" s="27">
        <f t="shared" si="9"/>
        <v>75</v>
      </c>
      <c r="H39" s="27">
        <f t="shared" si="9"/>
        <v>4</v>
      </c>
      <c r="I39" s="27">
        <f t="shared" si="9"/>
        <v>0</v>
      </c>
      <c r="J39" s="27">
        <f t="shared" si="9"/>
        <v>9</v>
      </c>
      <c r="K39" s="27">
        <f t="shared" si="9"/>
        <v>3</v>
      </c>
      <c r="L39" s="27">
        <f t="shared" si="9"/>
        <v>0</v>
      </c>
      <c r="M39" s="27">
        <f t="shared" si="0"/>
        <v>16.304000000000002</v>
      </c>
      <c r="N39" s="27">
        <f t="shared" si="1"/>
        <v>79</v>
      </c>
      <c r="O39" s="27">
        <f t="shared" si="2"/>
        <v>0.6980000000000001</v>
      </c>
      <c r="P39" s="28">
        <f t="shared" si="3"/>
        <v>12</v>
      </c>
    </row>
    <row r="40" spans="1:16" ht="12.75">
      <c r="A40" s="14">
        <v>1</v>
      </c>
      <c r="B40" s="15" t="s">
        <v>53</v>
      </c>
      <c r="C40" s="16">
        <v>0.16</v>
      </c>
      <c r="D40" s="16"/>
      <c r="E40" s="16">
        <v>0.052</v>
      </c>
      <c r="F40" s="16"/>
      <c r="G40" s="16">
        <v>3</v>
      </c>
      <c r="H40" s="16"/>
      <c r="I40" s="16"/>
      <c r="J40" s="16"/>
      <c r="K40" s="16"/>
      <c r="L40" s="16"/>
      <c r="M40" s="18">
        <f t="shared" si="0"/>
        <v>0.212</v>
      </c>
      <c r="N40" s="18">
        <f t="shared" si="1"/>
        <v>3</v>
      </c>
      <c r="O40" s="18">
        <f t="shared" si="2"/>
        <v>0</v>
      </c>
      <c r="P40" s="18">
        <f t="shared" si="3"/>
        <v>0</v>
      </c>
    </row>
    <row r="41" spans="1:16" ht="12.75">
      <c r="A41" s="3">
        <v>2</v>
      </c>
      <c r="B41" s="8" t="s">
        <v>54</v>
      </c>
      <c r="C41" s="2">
        <v>0.839</v>
      </c>
      <c r="D41" s="2"/>
      <c r="E41" s="2">
        <v>0.157</v>
      </c>
      <c r="F41" s="2"/>
      <c r="G41" s="2">
        <v>17</v>
      </c>
      <c r="H41" s="2"/>
      <c r="I41" s="2"/>
      <c r="J41" s="2"/>
      <c r="K41" s="2"/>
      <c r="L41" s="2"/>
      <c r="M41" s="2">
        <f t="shared" si="0"/>
        <v>0.996</v>
      </c>
      <c r="N41" s="11">
        <f t="shared" si="1"/>
        <v>17</v>
      </c>
      <c r="O41" s="11">
        <f t="shared" si="2"/>
        <v>0</v>
      </c>
      <c r="P41" s="11">
        <f t="shared" si="3"/>
        <v>0</v>
      </c>
    </row>
    <row r="42" spans="1:16" ht="12.75">
      <c r="A42" s="3">
        <v>3</v>
      </c>
      <c r="B42" s="8" t="s">
        <v>55</v>
      </c>
      <c r="C42" s="2">
        <f>2.468+0.1</f>
        <v>2.568</v>
      </c>
      <c r="D42" s="2"/>
      <c r="E42" s="2">
        <f>1.414+0.21</f>
        <v>1.6239999999999999</v>
      </c>
      <c r="F42" s="2"/>
      <c r="G42" s="2">
        <f>32+2</f>
        <v>34</v>
      </c>
      <c r="H42" s="2"/>
      <c r="I42" s="2"/>
      <c r="J42" s="2"/>
      <c r="K42" s="2"/>
      <c r="L42" s="2"/>
      <c r="M42" s="2">
        <f t="shared" si="0"/>
        <v>4.192</v>
      </c>
      <c r="N42" s="11">
        <f t="shared" si="1"/>
        <v>34</v>
      </c>
      <c r="O42" s="11">
        <f t="shared" si="2"/>
        <v>0</v>
      </c>
      <c r="P42" s="11">
        <f t="shared" si="3"/>
        <v>0</v>
      </c>
    </row>
    <row r="43" spans="1:16" ht="13.5" thickBot="1">
      <c r="A43" s="9">
        <v>4</v>
      </c>
      <c r="B43" s="10" t="s">
        <v>56</v>
      </c>
      <c r="C43" s="11">
        <v>0.15</v>
      </c>
      <c r="D43" s="11"/>
      <c r="E43" s="11">
        <f>0.105+0.055</f>
        <v>0.16</v>
      </c>
      <c r="F43" s="11"/>
      <c r="G43" s="11">
        <v>4</v>
      </c>
      <c r="H43" s="11"/>
      <c r="I43" s="11"/>
      <c r="J43" s="11"/>
      <c r="K43" s="11"/>
      <c r="L43" s="11"/>
      <c r="M43" s="18">
        <f t="shared" si="0"/>
        <v>0.31</v>
      </c>
      <c r="N43" s="29">
        <f t="shared" si="1"/>
        <v>4</v>
      </c>
      <c r="O43" s="29"/>
      <c r="P43" s="29"/>
    </row>
    <row r="44" spans="1:16" s="24" customFormat="1" ht="15.75" thickBot="1">
      <c r="A44" s="30"/>
      <c r="B44" s="22" t="s">
        <v>57</v>
      </c>
      <c r="C44" s="22">
        <f aca="true" t="shared" si="10" ref="C44:L44">SUM(C40:C43)</f>
        <v>3.717</v>
      </c>
      <c r="D44" s="22">
        <f t="shared" si="10"/>
        <v>0</v>
      </c>
      <c r="E44" s="22">
        <f t="shared" si="10"/>
        <v>1.9929999999999999</v>
      </c>
      <c r="F44" s="22">
        <f t="shared" si="10"/>
        <v>0</v>
      </c>
      <c r="G44" s="22">
        <f t="shared" si="10"/>
        <v>58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0"/>
        <v>5.71</v>
      </c>
      <c r="N44" s="22">
        <f>SUM(N40:N43)</f>
        <v>58</v>
      </c>
      <c r="O44" s="22">
        <f>SUM(O40:O43)</f>
        <v>0</v>
      </c>
      <c r="P44" s="23">
        <f>SUM(P40:P43)</f>
        <v>0</v>
      </c>
    </row>
    <row r="45" spans="1:16" s="24" customFormat="1" ht="15.75" thickBot="1">
      <c r="A45" s="30"/>
      <c r="B45" s="22" t="s">
        <v>58</v>
      </c>
      <c r="C45" s="22">
        <v>0.85</v>
      </c>
      <c r="D45" s="22"/>
      <c r="E45" s="22">
        <v>0.23</v>
      </c>
      <c r="F45" s="22"/>
      <c r="G45" s="22">
        <v>8</v>
      </c>
      <c r="H45" s="22">
        <v>9</v>
      </c>
      <c r="I45" s="22"/>
      <c r="J45" s="22"/>
      <c r="K45" s="22"/>
      <c r="L45" s="22">
        <v>1</v>
      </c>
      <c r="M45" s="22"/>
      <c r="N45" s="22"/>
      <c r="O45" s="31"/>
      <c r="P45" s="32"/>
    </row>
    <row r="46" spans="1:16" s="24" customFormat="1" ht="15.75" thickBot="1">
      <c r="A46" s="30"/>
      <c r="B46" s="22" t="s">
        <v>59</v>
      </c>
      <c r="C46" s="22">
        <v>0.4</v>
      </c>
      <c r="D46" s="22"/>
      <c r="E46" s="22">
        <v>0.015</v>
      </c>
      <c r="F46" s="22"/>
      <c r="G46" s="22"/>
      <c r="H46" s="22">
        <v>7</v>
      </c>
      <c r="I46" s="22"/>
      <c r="J46" s="22"/>
      <c r="K46" s="22"/>
      <c r="L46" s="22"/>
      <c r="M46" s="22"/>
      <c r="N46" s="33"/>
      <c r="O46" s="34"/>
      <c r="P46" s="35"/>
    </row>
    <row r="47" spans="1:16" ht="12.75">
      <c r="A47" s="14">
        <v>1</v>
      </c>
      <c r="B47" s="16" t="s">
        <v>60</v>
      </c>
      <c r="C47" s="16"/>
      <c r="D47" s="16"/>
      <c r="E47" s="16">
        <v>0.2</v>
      </c>
      <c r="F47" s="16"/>
      <c r="G47" s="16"/>
      <c r="H47" s="16"/>
      <c r="I47" s="16"/>
      <c r="J47" s="16"/>
      <c r="K47" s="16"/>
      <c r="L47" s="16"/>
      <c r="M47" s="16">
        <v>0.2</v>
      </c>
      <c r="N47" s="2">
        <v>0</v>
      </c>
      <c r="O47" s="2">
        <v>0</v>
      </c>
      <c r="P47" s="2">
        <v>0</v>
      </c>
    </row>
    <row r="48" spans="1:16" ht="13.5" thickBot="1">
      <c r="A48" s="36">
        <v>2</v>
      </c>
      <c r="B48" s="18" t="s">
        <v>61</v>
      </c>
      <c r="C48" s="18"/>
      <c r="D48" s="18"/>
      <c r="E48" s="18">
        <v>0.5</v>
      </c>
      <c r="F48" s="18"/>
      <c r="G48" s="18"/>
      <c r="H48" s="18"/>
      <c r="I48" s="18"/>
      <c r="J48" s="18"/>
      <c r="K48" s="18"/>
      <c r="L48" s="18"/>
      <c r="M48" s="18">
        <v>0.5</v>
      </c>
      <c r="N48" s="11">
        <v>0</v>
      </c>
      <c r="O48" s="11">
        <v>0</v>
      </c>
      <c r="P48" s="11">
        <v>0</v>
      </c>
    </row>
    <row r="49" spans="1:16" s="13" customFormat="1" ht="15.75" thickBot="1">
      <c r="A49" s="37"/>
      <c r="B49" s="27" t="s">
        <v>62</v>
      </c>
      <c r="C49" s="27"/>
      <c r="D49" s="27"/>
      <c r="E49" s="27">
        <f>SUM(E47:E48)</f>
        <v>0.7</v>
      </c>
      <c r="F49" s="27"/>
      <c r="G49" s="27"/>
      <c r="H49" s="27"/>
      <c r="I49" s="27"/>
      <c r="J49" s="27"/>
      <c r="K49" s="27"/>
      <c r="L49" s="27"/>
      <c r="M49" s="27">
        <f>SUM(M47:M48)</f>
        <v>0.7</v>
      </c>
      <c r="N49" s="27">
        <f>SUM(N47:N48)</f>
        <v>0</v>
      </c>
      <c r="O49" s="28">
        <f>SUM(O47:O48)</f>
        <v>0</v>
      </c>
      <c r="P49" s="38">
        <f>SUM(P47:P48)</f>
        <v>0</v>
      </c>
    </row>
    <row r="50" spans="1:16" ht="12.75">
      <c r="A50" s="14">
        <v>1</v>
      </c>
      <c r="B50" s="16" t="s">
        <v>63</v>
      </c>
      <c r="C50" s="16"/>
      <c r="D50" s="16"/>
      <c r="E50" s="16">
        <v>0.32</v>
      </c>
      <c r="F50" s="16"/>
      <c r="G50" s="16"/>
      <c r="H50" s="16"/>
      <c r="I50" s="16"/>
      <c r="J50" s="16"/>
      <c r="K50" s="16"/>
      <c r="L50" s="16"/>
      <c r="M50" s="16">
        <v>0.32</v>
      </c>
      <c r="N50" s="16">
        <v>0</v>
      </c>
      <c r="O50" s="16">
        <v>0</v>
      </c>
      <c r="P50" s="16">
        <v>0</v>
      </c>
    </row>
    <row r="51" spans="1:16" ht="12.75">
      <c r="A51" s="14">
        <v>2</v>
      </c>
      <c r="B51" s="16" t="s">
        <v>64</v>
      </c>
      <c r="C51" s="16">
        <v>0.2</v>
      </c>
      <c r="D51" s="16"/>
      <c r="E51" s="16">
        <v>0.29</v>
      </c>
      <c r="F51" s="16"/>
      <c r="G51" s="16">
        <v>2</v>
      </c>
      <c r="H51" s="16">
        <v>2</v>
      </c>
      <c r="I51" s="16"/>
      <c r="J51" s="16"/>
      <c r="K51" s="16"/>
      <c r="L51" s="16"/>
      <c r="M51" s="16">
        <f>C51+E51</f>
        <v>0.49</v>
      </c>
      <c r="N51" s="16">
        <f>G51+H51</f>
        <v>4</v>
      </c>
      <c r="O51" s="16">
        <v>0</v>
      </c>
      <c r="P51" s="16">
        <v>0</v>
      </c>
    </row>
    <row r="52" spans="1:16" ht="12.75">
      <c r="A52" s="14">
        <v>3</v>
      </c>
      <c r="B52" s="16" t="s">
        <v>65</v>
      </c>
      <c r="C52" s="16"/>
      <c r="D52" s="16"/>
      <c r="E52" s="16"/>
      <c r="F52" s="16">
        <f>2*0.09</f>
        <v>0.18</v>
      </c>
      <c r="G52" s="16"/>
      <c r="H52" s="16"/>
      <c r="I52" s="16"/>
      <c r="J52" s="16"/>
      <c r="K52" s="16"/>
      <c r="L52" s="16"/>
      <c r="M52" s="16">
        <v>0</v>
      </c>
      <c r="N52" s="16">
        <v>0</v>
      </c>
      <c r="O52" s="16">
        <f>2*0.09</f>
        <v>0.18</v>
      </c>
      <c r="P52" s="16">
        <v>0</v>
      </c>
    </row>
    <row r="53" spans="1:16" ht="12.75">
      <c r="A53" s="14">
        <v>4</v>
      </c>
      <c r="B53" s="16" t="s">
        <v>66</v>
      </c>
      <c r="C53" s="16"/>
      <c r="D53" s="16"/>
      <c r="E53" s="16"/>
      <c r="F53" s="16">
        <f>2*0.09</f>
        <v>0.18</v>
      </c>
      <c r="G53" s="16"/>
      <c r="H53" s="16"/>
      <c r="I53" s="16"/>
      <c r="J53" s="16"/>
      <c r="K53" s="16"/>
      <c r="L53" s="16"/>
      <c r="M53" s="16">
        <v>0</v>
      </c>
      <c r="N53" s="16">
        <v>0</v>
      </c>
      <c r="O53" s="16">
        <f>2*0.09</f>
        <v>0.18</v>
      </c>
      <c r="P53" s="16">
        <v>0</v>
      </c>
    </row>
    <row r="54" spans="1:16" ht="13.5" thickBot="1">
      <c r="A54" s="36">
        <v>5</v>
      </c>
      <c r="B54" s="18" t="s">
        <v>67</v>
      </c>
      <c r="C54" s="18"/>
      <c r="D54" s="18"/>
      <c r="E54" s="18"/>
      <c r="F54" s="18">
        <v>0.012</v>
      </c>
      <c r="G54" s="18"/>
      <c r="H54" s="18"/>
      <c r="I54" s="18"/>
      <c r="J54" s="18"/>
      <c r="K54" s="18"/>
      <c r="L54" s="18"/>
      <c r="M54" s="18">
        <v>0</v>
      </c>
      <c r="N54" s="18">
        <v>0</v>
      </c>
      <c r="O54" s="18">
        <v>0.012</v>
      </c>
      <c r="P54" s="18">
        <v>0</v>
      </c>
    </row>
    <row r="55" spans="1:16" s="13" customFormat="1" ht="15.75" thickBot="1">
      <c r="A55" s="37"/>
      <c r="B55" s="27" t="s">
        <v>68</v>
      </c>
      <c r="C55" s="27">
        <f>SUM(C51:C54)</f>
        <v>0.2</v>
      </c>
      <c r="D55" s="27"/>
      <c r="E55" s="27">
        <f>SUM(E50:E54)</f>
        <v>0.61</v>
      </c>
      <c r="F55" s="27">
        <f>SUM(F52:F54)</f>
        <v>0.372</v>
      </c>
      <c r="G55" s="27">
        <f>SUM(G50:G54)</f>
        <v>2</v>
      </c>
      <c r="H55" s="27">
        <f>SUM(H50:H54)</f>
        <v>2</v>
      </c>
      <c r="I55" s="27"/>
      <c r="J55" s="27"/>
      <c r="K55" s="27"/>
      <c r="L55" s="27"/>
      <c r="M55" s="27">
        <f>SUM(M50:M54)</f>
        <v>0.81</v>
      </c>
      <c r="N55" s="27">
        <f>SUM(N50:N54)</f>
        <v>4</v>
      </c>
      <c r="O55" s="27">
        <f>SUM(O50:O54)</f>
        <v>0.372</v>
      </c>
      <c r="P55" s="28">
        <f>SUM(P50:P54)</f>
        <v>0</v>
      </c>
    </row>
    <row r="56" spans="1:16" ht="12.75">
      <c r="A56" s="14">
        <v>1</v>
      </c>
      <c r="B56" s="16" t="s">
        <v>69</v>
      </c>
      <c r="C56" s="16"/>
      <c r="D56" s="16"/>
      <c r="E56" s="16">
        <v>0.028</v>
      </c>
      <c r="F56" s="16"/>
      <c r="G56" s="16"/>
      <c r="H56" s="16"/>
      <c r="I56" s="16"/>
      <c r="J56" s="16"/>
      <c r="K56" s="16"/>
      <c r="L56" s="16"/>
      <c r="M56" s="16">
        <f>C56+E56</f>
        <v>0.028</v>
      </c>
      <c r="N56" s="16">
        <v>0</v>
      </c>
      <c r="O56" s="16">
        <v>0</v>
      </c>
      <c r="P56" s="16">
        <v>0</v>
      </c>
    </row>
    <row r="57" spans="1:16" ht="12.75">
      <c r="A57" s="3">
        <v>2</v>
      </c>
      <c r="B57" s="2" t="s">
        <v>70</v>
      </c>
      <c r="C57" s="2"/>
      <c r="D57" s="2"/>
      <c r="E57" s="2">
        <v>0.4</v>
      </c>
      <c r="F57" s="2"/>
      <c r="G57" s="2"/>
      <c r="H57" s="2"/>
      <c r="I57" s="2"/>
      <c r="J57" s="2"/>
      <c r="K57" s="2"/>
      <c r="L57" s="2"/>
      <c r="M57" s="2">
        <f>C57+E57</f>
        <v>0.4</v>
      </c>
      <c r="N57" s="2">
        <v>0</v>
      </c>
      <c r="O57" s="2">
        <v>0</v>
      </c>
      <c r="P57" s="2">
        <v>0</v>
      </c>
    </row>
    <row r="58" spans="1:16" ht="12.75">
      <c r="A58" s="3">
        <v>3</v>
      </c>
      <c r="B58" s="2" t="s">
        <v>71</v>
      </c>
      <c r="C58" s="2"/>
      <c r="D58" s="2"/>
      <c r="E58" s="2">
        <v>0.4</v>
      </c>
      <c r="F58" s="2"/>
      <c r="G58" s="2"/>
      <c r="H58" s="2"/>
      <c r="I58" s="2"/>
      <c r="J58" s="2"/>
      <c r="K58" s="2"/>
      <c r="L58" s="2"/>
      <c r="M58" s="2">
        <f>C58+E58</f>
        <v>0.4</v>
      </c>
      <c r="N58" s="2">
        <v>0</v>
      </c>
      <c r="O58" s="2">
        <v>0</v>
      </c>
      <c r="P58" s="2">
        <v>0</v>
      </c>
    </row>
    <row r="59" spans="1:16" ht="13.5" thickBot="1">
      <c r="A59" s="9">
        <v>4</v>
      </c>
      <c r="B59" s="11" t="s">
        <v>72</v>
      </c>
      <c r="C59" s="11"/>
      <c r="D59" s="11"/>
      <c r="E59" s="11">
        <v>0.04</v>
      </c>
      <c r="F59" s="11"/>
      <c r="G59" s="11"/>
      <c r="H59" s="11"/>
      <c r="I59" s="11"/>
      <c r="J59" s="11"/>
      <c r="K59" s="11"/>
      <c r="L59" s="11"/>
      <c r="M59" s="11">
        <f>C59+E59</f>
        <v>0.04</v>
      </c>
      <c r="N59" s="11">
        <v>0</v>
      </c>
      <c r="O59" s="11">
        <v>0</v>
      </c>
      <c r="P59" s="11">
        <v>0</v>
      </c>
    </row>
    <row r="60" spans="1:16" s="13" customFormat="1" ht="15.75" thickBot="1">
      <c r="A60" s="37"/>
      <c r="B60" s="27" t="s">
        <v>73</v>
      </c>
      <c r="C60" s="27"/>
      <c r="D60" s="27"/>
      <c r="E60" s="27">
        <f>SUM(E56:E59)</f>
        <v>0.8680000000000001</v>
      </c>
      <c r="F60" s="27"/>
      <c r="G60" s="27"/>
      <c r="H60" s="27"/>
      <c r="I60" s="27"/>
      <c r="J60" s="27"/>
      <c r="K60" s="27"/>
      <c r="L60" s="27"/>
      <c r="M60" s="28">
        <f>SUM(M56:M59)</f>
        <v>0.8680000000000001</v>
      </c>
      <c r="N60" s="25">
        <f>SUM(N56:N59)</f>
        <v>0</v>
      </c>
      <c r="O60" s="28">
        <f>SUM(O56:O59)</f>
        <v>0</v>
      </c>
      <c r="P60" s="39">
        <f>SUM(P56:P59)</f>
        <v>0</v>
      </c>
    </row>
    <row r="61" spans="1:16" ht="12.75">
      <c r="A61" s="14">
        <v>1</v>
      </c>
      <c r="B61" s="16" t="s">
        <v>74</v>
      </c>
      <c r="C61" s="16"/>
      <c r="D61" s="16"/>
      <c r="E61" s="16">
        <v>0.13</v>
      </c>
      <c r="F61" s="16"/>
      <c r="G61" s="16"/>
      <c r="H61" s="16"/>
      <c r="I61" s="16"/>
      <c r="J61" s="16"/>
      <c r="K61" s="16"/>
      <c r="L61" s="16"/>
      <c r="M61" s="16">
        <f>C61+E61</f>
        <v>0.13</v>
      </c>
      <c r="N61" s="16">
        <v>0</v>
      </c>
      <c r="O61" s="16">
        <v>0</v>
      </c>
      <c r="P61" s="16">
        <v>0</v>
      </c>
    </row>
    <row r="62" spans="1:16" ht="12.75">
      <c r="A62" s="3">
        <v>2</v>
      </c>
      <c r="B62" s="2" t="s">
        <v>75</v>
      </c>
      <c r="C62" s="2"/>
      <c r="D62" s="2"/>
      <c r="E62" s="2">
        <v>0.13</v>
      </c>
      <c r="F62" s="2"/>
      <c r="G62" s="2"/>
      <c r="H62" s="2"/>
      <c r="I62" s="2"/>
      <c r="J62" s="2"/>
      <c r="K62" s="2"/>
      <c r="L62" s="2"/>
      <c r="M62" s="2">
        <f>C62+E62</f>
        <v>0.13</v>
      </c>
      <c r="N62" s="2">
        <v>0</v>
      </c>
      <c r="O62" s="2">
        <v>0</v>
      </c>
      <c r="P62" s="2">
        <v>0</v>
      </c>
    </row>
    <row r="63" spans="1:16" ht="12.75">
      <c r="A63" s="3">
        <v>3</v>
      </c>
      <c r="B63" s="2" t="s">
        <v>76</v>
      </c>
      <c r="C63" s="2"/>
      <c r="D63" s="2"/>
      <c r="E63" s="2">
        <v>0.118</v>
      </c>
      <c r="F63" s="2"/>
      <c r="G63" s="2"/>
      <c r="H63" s="2"/>
      <c r="I63" s="2"/>
      <c r="J63" s="2"/>
      <c r="K63" s="2"/>
      <c r="L63" s="2"/>
      <c r="M63" s="2">
        <f>C63+E63</f>
        <v>0.118</v>
      </c>
      <c r="N63" s="2">
        <v>0</v>
      </c>
      <c r="O63" s="2">
        <v>0</v>
      </c>
      <c r="P63" s="2">
        <v>0</v>
      </c>
    </row>
    <row r="64" spans="1:16" ht="13.5" thickBot="1">
      <c r="A64" s="3">
        <v>4</v>
      </c>
      <c r="B64" s="2" t="s">
        <v>77</v>
      </c>
      <c r="C64" s="2"/>
      <c r="D64" s="2"/>
      <c r="E64" s="2">
        <v>0.118</v>
      </c>
      <c r="F64" s="2"/>
      <c r="G64" s="2"/>
      <c r="H64" s="2"/>
      <c r="I64" s="2"/>
      <c r="J64" s="2"/>
      <c r="K64" s="2"/>
      <c r="L64" s="2"/>
      <c r="M64" s="2">
        <f>C64+E64</f>
        <v>0.118</v>
      </c>
      <c r="N64" s="2">
        <v>0</v>
      </c>
      <c r="O64" s="2">
        <v>0</v>
      </c>
      <c r="P64" s="2">
        <v>0</v>
      </c>
    </row>
    <row r="65" spans="1:16" s="13" customFormat="1" ht="15.75" thickBot="1">
      <c r="A65" s="37"/>
      <c r="B65" s="27" t="s">
        <v>78</v>
      </c>
      <c r="C65" s="27"/>
      <c r="D65" s="27"/>
      <c r="E65" s="27">
        <f>SUM(E61:E64)</f>
        <v>0.496</v>
      </c>
      <c r="F65" s="27"/>
      <c r="G65" s="27"/>
      <c r="H65" s="27"/>
      <c r="I65" s="27"/>
      <c r="J65" s="27"/>
      <c r="K65" s="27"/>
      <c r="L65" s="28"/>
      <c r="M65" s="25">
        <f>SUM(M61:M64)</f>
        <v>0.496</v>
      </c>
      <c r="N65" s="27">
        <f>SUM(N61:N64)</f>
        <v>0</v>
      </c>
      <c r="O65" s="27">
        <f>SUM(O61:O64)</f>
        <v>0</v>
      </c>
      <c r="P65" s="28">
        <f>SUM(P61:P64)</f>
        <v>0</v>
      </c>
    </row>
    <row r="66" spans="1:16" s="44" customFormat="1" ht="16.5" thickBot="1">
      <c r="A66" s="40">
        <f>9+9+6+9+4</f>
        <v>37</v>
      </c>
      <c r="B66" s="41" t="s">
        <v>79</v>
      </c>
      <c r="C66" s="42">
        <f>C12+C22+C29+C39+C44+C45+C46+C49+C55+C60+C65</f>
        <v>81.75800000000001</v>
      </c>
      <c r="D66" s="43">
        <f aca="true" t="shared" si="11" ref="D66:N66">D12+D22+D29+D39+D44+D45+D46+D49+D55+D60+D65</f>
        <v>35.882</v>
      </c>
      <c r="E66" s="42">
        <f t="shared" si="11"/>
        <v>39.29600000000001</v>
      </c>
      <c r="F66" s="43">
        <f t="shared" si="11"/>
        <v>4.865</v>
      </c>
      <c r="G66" s="42">
        <f t="shared" si="11"/>
        <v>1215</v>
      </c>
      <c r="H66" s="42">
        <f t="shared" si="11"/>
        <v>220</v>
      </c>
      <c r="I66" s="42">
        <f t="shared" si="11"/>
        <v>4</v>
      </c>
      <c r="J66" s="43">
        <f t="shared" si="11"/>
        <v>133</v>
      </c>
      <c r="K66" s="43">
        <f t="shared" si="11"/>
        <v>382</v>
      </c>
      <c r="L66" s="43">
        <f t="shared" si="11"/>
        <v>6</v>
      </c>
      <c r="M66" s="43">
        <f t="shared" si="11"/>
        <v>119.55899999999998</v>
      </c>
      <c r="N66" s="43">
        <f t="shared" si="11"/>
        <v>1415</v>
      </c>
      <c r="O66" s="43">
        <f>O12+O22+O29+O39+O44+O45+O46+O49+O55+O60+O65</f>
        <v>40.747</v>
      </c>
      <c r="P66" s="43">
        <f>P12+P22+P29+P39+P44+P45+P46+P49+P55+P60+P65</f>
        <v>520</v>
      </c>
    </row>
    <row r="67" spans="2:15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  <c r="N67" s="45"/>
      <c r="O67" s="45"/>
    </row>
    <row r="68" spans="2:15" ht="12.75">
      <c r="B68" s="46" t="s">
        <v>80</v>
      </c>
      <c r="C68" s="45">
        <v>95.161</v>
      </c>
      <c r="D68" s="45"/>
      <c r="E68" s="45">
        <f>E66</f>
        <v>39.29600000000001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2:15" ht="12.75">
      <c r="B69" s="46" t="s">
        <v>81</v>
      </c>
      <c r="C69" s="45">
        <f>C68-C66</f>
        <v>13.402999999999992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</sheetData>
  <sheetProtection/>
  <mergeCells count="5">
    <mergeCell ref="O1:P1"/>
    <mergeCell ref="C1:F1"/>
    <mergeCell ref="G1:I1"/>
    <mergeCell ref="J1:L1"/>
    <mergeCell ref="M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zoomScale="75" zoomScaleNormal="75" zoomScalePageLayoutView="0" workbookViewId="0" topLeftCell="A25">
      <selection activeCell="C69" sqref="C69"/>
    </sheetView>
  </sheetViews>
  <sheetFormatPr defaultColWidth="9.140625" defaultRowHeight="12.75"/>
  <sheetData>
    <row r="1" spans="1:16" ht="12.75">
      <c r="A1" s="1"/>
      <c r="B1" s="2"/>
      <c r="C1" s="76" t="s">
        <v>0</v>
      </c>
      <c r="D1" s="76"/>
      <c r="E1" s="76"/>
      <c r="F1" s="76"/>
      <c r="G1" s="74" t="s">
        <v>1</v>
      </c>
      <c r="H1" s="77"/>
      <c r="I1" s="75"/>
      <c r="J1" s="74" t="s">
        <v>2</v>
      </c>
      <c r="K1" s="77"/>
      <c r="L1" s="75"/>
      <c r="M1" s="74" t="s">
        <v>3</v>
      </c>
      <c r="N1" s="75"/>
      <c r="O1" s="74" t="s">
        <v>4</v>
      </c>
      <c r="P1" s="75"/>
    </row>
    <row r="2" spans="1:16" ht="25.5">
      <c r="A2" s="2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6" t="s">
        <v>10</v>
      </c>
      <c r="G2" s="5" t="s">
        <v>11</v>
      </c>
      <c r="H2" s="5" t="s">
        <v>12</v>
      </c>
      <c r="I2" s="5" t="s">
        <v>13</v>
      </c>
      <c r="J2" s="5" t="s">
        <v>11</v>
      </c>
      <c r="K2" s="5" t="s">
        <v>12</v>
      </c>
      <c r="L2" s="5" t="s">
        <v>13</v>
      </c>
      <c r="M2" s="7" t="s">
        <v>14</v>
      </c>
      <c r="N2" s="5" t="s">
        <v>15</v>
      </c>
      <c r="O2" s="7" t="s">
        <v>14</v>
      </c>
      <c r="P2" s="5" t="s">
        <v>15</v>
      </c>
    </row>
    <row r="3" spans="1:16" ht="12.75">
      <c r="A3" s="3">
        <v>1</v>
      </c>
      <c r="B3" s="8" t="s">
        <v>16</v>
      </c>
      <c r="C3" s="2">
        <v>0.34</v>
      </c>
      <c r="D3" s="2"/>
      <c r="E3" s="2">
        <v>0.35</v>
      </c>
      <c r="F3" s="2">
        <v>0.07</v>
      </c>
      <c r="G3" s="2">
        <v>6</v>
      </c>
      <c r="H3" s="2"/>
      <c r="I3" s="2"/>
      <c r="J3" s="2"/>
      <c r="K3" s="2"/>
      <c r="L3" s="2"/>
      <c r="M3" s="2">
        <f aca="true" t="shared" si="0" ref="M3:M44">C3+E3</f>
        <v>0.69</v>
      </c>
      <c r="N3" s="2">
        <f aca="true" t="shared" si="1" ref="N3:N43">G3+H3+I3</f>
        <v>6</v>
      </c>
      <c r="O3" s="2">
        <f aca="true" t="shared" si="2" ref="O3:O42">D3+F3</f>
        <v>0.07</v>
      </c>
      <c r="P3" s="2">
        <f aca="true" t="shared" si="3" ref="P3:P42">J3+K3+L3</f>
        <v>0</v>
      </c>
    </row>
    <row r="4" spans="1:16" ht="12.75">
      <c r="A4" s="3">
        <f aca="true" t="shared" si="4" ref="A4:A11">A3+1</f>
        <v>2</v>
      </c>
      <c r="B4" s="8" t="s">
        <v>17</v>
      </c>
      <c r="C4" s="2">
        <v>4.364</v>
      </c>
      <c r="D4" s="2">
        <v>0.135</v>
      </c>
      <c r="E4" s="47">
        <f>0.26*2+0.03</f>
        <v>0.55</v>
      </c>
      <c r="F4" s="2"/>
      <c r="G4" s="2">
        <v>72</v>
      </c>
      <c r="H4" s="2">
        <v>13</v>
      </c>
      <c r="I4" s="2"/>
      <c r="J4" s="2">
        <v>1</v>
      </c>
      <c r="K4" s="2">
        <v>1</v>
      </c>
      <c r="L4" s="2"/>
      <c r="M4" s="2">
        <f t="shared" si="0"/>
        <v>4.914</v>
      </c>
      <c r="N4" s="2">
        <f t="shared" si="1"/>
        <v>85</v>
      </c>
      <c r="O4" s="2">
        <f t="shared" si="2"/>
        <v>0.135</v>
      </c>
      <c r="P4" s="2">
        <f t="shared" si="3"/>
        <v>2</v>
      </c>
    </row>
    <row r="5" spans="1:16" ht="12.75">
      <c r="A5" s="3">
        <f t="shared" si="4"/>
        <v>3</v>
      </c>
      <c r="B5" s="8" t="s">
        <v>18</v>
      </c>
      <c r="C5" s="2">
        <v>1.481</v>
      </c>
      <c r="D5" s="2"/>
      <c r="E5" s="2">
        <f>0.245-0.18</f>
        <v>0.065</v>
      </c>
      <c r="F5" s="2">
        <f>0.08+0.18</f>
        <v>0.26</v>
      </c>
      <c r="G5" s="2">
        <v>3</v>
      </c>
      <c r="H5" s="2">
        <v>27</v>
      </c>
      <c r="I5" s="2"/>
      <c r="J5" s="2"/>
      <c r="K5" s="2"/>
      <c r="L5" s="2"/>
      <c r="M5" s="2">
        <f t="shared" si="0"/>
        <v>1.546</v>
      </c>
      <c r="N5" s="2">
        <f t="shared" si="1"/>
        <v>30</v>
      </c>
      <c r="O5" s="2">
        <f t="shared" si="2"/>
        <v>0.26</v>
      </c>
      <c r="P5" s="2">
        <f t="shared" si="3"/>
        <v>0</v>
      </c>
    </row>
    <row r="6" spans="1:16" ht="12.75">
      <c r="A6" s="3">
        <f t="shared" si="4"/>
        <v>4</v>
      </c>
      <c r="B6" s="8" t="s">
        <v>19</v>
      </c>
      <c r="C6" s="2">
        <v>1.238</v>
      </c>
      <c r="D6" s="2">
        <v>0.12</v>
      </c>
      <c r="E6" s="2"/>
      <c r="F6" s="2">
        <v>0.15</v>
      </c>
      <c r="G6" s="2">
        <v>19</v>
      </c>
      <c r="H6" s="2"/>
      <c r="I6" s="2"/>
      <c r="J6" s="2"/>
      <c r="K6" s="2"/>
      <c r="L6" s="2"/>
      <c r="M6" s="2">
        <f t="shared" si="0"/>
        <v>1.238</v>
      </c>
      <c r="N6" s="2">
        <f t="shared" si="1"/>
        <v>19</v>
      </c>
      <c r="O6" s="2">
        <f t="shared" si="2"/>
        <v>0.27</v>
      </c>
      <c r="P6" s="2">
        <f t="shared" si="3"/>
        <v>0</v>
      </c>
    </row>
    <row r="7" spans="1:16" ht="12.75">
      <c r="A7" s="3">
        <f t="shared" si="4"/>
        <v>5</v>
      </c>
      <c r="B7" s="8" t="s">
        <v>20</v>
      </c>
      <c r="C7" s="2">
        <v>1.545</v>
      </c>
      <c r="D7" s="2"/>
      <c r="E7" s="2">
        <v>1.1</v>
      </c>
      <c r="F7" s="2">
        <v>0.15</v>
      </c>
      <c r="G7" s="2">
        <v>10</v>
      </c>
      <c r="H7" s="2">
        <v>1</v>
      </c>
      <c r="I7" s="2"/>
      <c r="J7" s="2"/>
      <c r="K7" s="2"/>
      <c r="L7" s="2"/>
      <c r="M7" s="2">
        <f t="shared" si="0"/>
        <v>2.645</v>
      </c>
      <c r="N7" s="2">
        <f t="shared" si="1"/>
        <v>11</v>
      </c>
      <c r="O7" s="2">
        <f t="shared" si="2"/>
        <v>0.15</v>
      </c>
      <c r="P7" s="2">
        <f t="shared" si="3"/>
        <v>0</v>
      </c>
    </row>
    <row r="8" spans="1:16" ht="12.75">
      <c r="A8" s="3">
        <f t="shared" si="4"/>
        <v>6</v>
      </c>
      <c r="B8" s="8" t="s">
        <v>21</v>
      </c>
      <c r="C8" s="2">
        <v>1.531</v>
      </c>
      <c r="D8" s="2">
        <v>0.06</v>
      </c>
      <c r="E8" s="2">
        <v>1.175</v>
      </c>
      <c r="F8" s="2">
        <v>0.1</v>
      </c>
      <c r="G8" s="2">
        <v>33</v>
      </c>
      <c r="H8" s="2">
        <v>4</v>
      </c>
      <c r="I8" s="2">
        <v>2</v>
      </c>
      <c r="J8" s="2"/>
      <c r="K8" s="2">
        <v>1</v>
      </c>
      <c r="L8" s="2"/>
      <c r="M8" s="2">
        <f t="shared" si="0"/>
        <v>2.706</v>
      </c>
      <c r="N8" s="2">
        <f t="shared" si="1"/>
        <v>39</v>
      </c>
      <c r="O8" s="2">
        <f t="shared" si="2"/>
        <v>0.16</v>
      </c>
      <c r="P8" s="2">
        <f t="shared" si="3"/>
        <v>1</v>
      </c>
    </row>
    <row r="9" spans="1:16" ht="12.75">
      <c r="A9" s="3">
        <f t="shared" si="4"/>
        <v>7</v>
      </c>
      <c r="B9" s="8" t="s">
        <v>22</v>
      </c>
      <c r="C9" s="2">
        <f>2.199+0.133</f>
        <v>2.332</v>
      </c>
      <c r="D9" s="2">
        <v>0.01</v>
      </c>
      <c r="E9" s="2">
        <f>0.055+0.04</f>
        <v>0.095</v>
      </c>
      <c r="F9" s="2">
        <v>0.08</v>
      </c>
      <c r="G9" s="2">
        <f>29+2</f>
        <v>31</v>
      </c>
      <c r="H9" s="2">
        <v>13</v>
      </c>
      <c r="I9" s="2">
        <v>0</v>
      </c>
      <c r="J9" s="2"/>
      <c r="K9" s="2"/>
      <c r="L9" s="2"/>
      <c r="M9" s="2">
        <f t="shared" si="0"/>
        <v>2.427</v>
      </c>
      <c r="N9" s="2">
        <f t="shared" si="1"/>
        <v>44</v>
      </c>
      <c r="O9" s="2">
        <f t="shared" si="2"/>
        <v>0.09</v>
      </c>
      <c r="P9" s="2">
        <f t="shared" si="3"/>
        <v>0</v>
      </c>
    </row>
    <row r="10" spans="1:16" ht="12.75">
      <c r="A10" s="3">
        <f t="shared" si="4"/>
        <v>8</v>
      </c>
      <c r="B10" s="8" t="s">
        <v>23</v>
      </c>
      <c r="C10" s="2">
        <v>1.149</v>
      </c>
      <c r="D10" s="2"/>
      <c r="E10" s="2">
        <v>0.26</v>
      </c>
      <c r="F10" s="2"/>
      <c r="G10" s="2">
        <v>19</v>
      </c>
      <c r="H10" s="2"/>
      <c r="I10" s="2"/>
      <c r="J10" s="2"/>
      <c r="K10" s="2"/>
      <c r="L10" s="2"/>
      <c r="M10" s="2">
        <f t="shared" si="0"/>
        <v>1.409</v>
      </c>
      <c r="N10" s="2">
        <f t="shared" si="1"/>
        <v>19</v>
      </c>
      <c r="O10" s="2">
        <f t="shared" si="2"/>
        <v>0</v>
      </c>
      <c r="P10" s="2">
        <f t="shared" si="3"/>
        <v>0</v>
      </c>
    </row>
    <row r="11" spans="1:16" ht="13.5" thickBot="1">
      <c r="A11" s="9">
        <f t="shared" si="4"/>
        <v>9</v>
      </c>
      <c r="B11" s="10" t="s">
        <v>24</v>
      </c>
      <c r="C11" s="11">
        <v>1.338</v>
      </c>
      <c r="D11" s="11"/>
      <c r="E11" s="11">
        <v>0.26</v>
      </c>
      <c r="F11" s="11">
        <v>0.192</v>
      </c>
      <c r="G11" s="12">
        <v>20</v>
      </c>
      <c r="H11" s="11"/>
      <c r="I11" s="11"/>
      <c r="J11" s="11"/>
      <c r="K11" s="11"/>
      <c r="L11" s="11"/>
      <c r="M11" s="2">
        <f t="shared" si="0"/>
        <v>1.598</v>
      </c>
      <c r="N11" s="11">
        <f t="shared" si="1"/>
        <v>20</v>
      </c>
      <c r="O11" s="11">
        <f t="shared" si="2"/>
        <v>0.192</v>
      </c>
      <c r="P11" s="11">
        <f t="shared" si="3"/>
        <v>0</v>
      </c>
    </row>
    <row r="12" spans="1:16" s="13" customFormat="1" ht="15.75" thickBot="1">
      <c r="A12" s="37"/>
      <c r="B12" s="51" t="s">
        <v>25</v>
      </c>
      <c r="C12" s="52">
        <f aca="true" t="shared" si="5" ref="C12:L12">SUM(C3:C11)</f>
        <v>15.318000000000001</v>
      </c>
      <c r="D12" s="52">
        <f t="shared" si="5"/>
        <v>0.325</v>
      </c>
      <c r="E12" s="52">
        <f t="shared" si="5"/>
        <v>3.8550000000000004</v>
      </c>
      <c r="F12" s="52">
        <f t="shared" si="5"/>
        <v>1.002</v>
      </c>
      <c r="G12" s="52">
        <f t="shared" si="5"/>
        <v>213</v>
      </c>
      <c r="H12" s="52">
        <f t="shared" si="5"/>
        <v>58</v>
      </c>
      <c r="I12" s="52">
        <f t="shared" si="5"/>
        <v>2</v>
      </c>
      <c r="J12" s="52">
        <f t="shared" si="5"/>
        <v>1</v>
      </c>
      <c r="K12" s="52">
        <f t="shared" si="5"/>
        <v>2</v>
      </c>
      <c r="L12" s="52">
        <f t="shared" si="5"/>
        <v>0</v>
      </c>
      <c r="M12" s="27">
        <f t="shared" si="0"/>
        <v>19.173000000000002</v>
      </c>
      <c r="N12" s="27">
        <f t="shared" si="1"/>
        <v>273</v>
      </c>
      <c r="O12" s="27">
        <f t="shared" si="2"/>
        <v>1.327</v>
      </c>
      <c r="P12" s="28">
        <f t="shared" si="3"/>
        <v>3</v>
      </c>
    </row>
    <row r="13" spans="1:16" ht="12.75">
      <c r="A13" s="14">
        <v>1</v>
      </c>
      <c r="B13" s="15" t="s">
        <v>26</v>
      </c>
      <c r="C13" s="16">
        <v>2.964</v>
      </c>
      <c r="D13" s="16">
        <v>0.29</v>
      </c>
      <c r="E13" s="16">
        <f>0.176+0.025+0.413+0.035+0.644+0.2+0.31+0.39+0.25+0.046</f>
        <v>2.489</v>
      </c>
      <c r="F13" s="16">
        <v>0.263</v>
      </c>
      <c r="G13" s="17">
        <v>57</v>
      </c>
      <c r="H13" s="17">
        <v>1</v>
      </c>
      <c r="I13" s="16"/>
      <c r="J13" s="16">
        <v>6</v>
      </c>
      <c r="K13" s="16"/>
      <c r="L13" s="16"/>
      <c r="M13" s="16">
        <f t="shared" si="0"/>
        <v>5.452999999999999</v>
      </c>
      <c r="N13" s="18">
        <f t="shared" si="1"/>
        <v>58</v>
      </c>
      <c r="O13" s="18">
        <f t="shared" si="2"/>
        <v>0.5529999999999999</v>
      </c>
      <c r="P13" s="18">
        <f t="shared" si="3"/>
        <v>6</v>
      </c>
    </row>
    <row r="14" spans="1:16" ht="12.75">
      <c r="A14" s="3">
        <f aca="true" t="shared" si="6" ref="A14:A21">A13+1</f>
        <v>2</v>
      </c>
      <c r="B14" s="8" t="s">
        <v>27</v>
      </c>
      <c r="C14" s="2">
        <v>3.62</v>
      </c>
      <c r="D14" s="2"/>
      <c r="E14" s="2">
        <f>0.03+0.05+0.06+0.009+0.01+0.135+0.04+0.01+0.011+0.32+0.22+0.19+0.215+0.3+0.1+0.18+0.29+0.08+0.12</f>
        <v>2.37</v>
      </c>
      <c r="F14" s="2">
        <v>0.08</v>
      </c>
      <c r="G14" s="2">
        <v>71</v>
      </c>
      <c r="H14" s="2"/>
      <c r="I14" s="2"/>
      <c r="J14" s="2"/>
      <c r="K14" s="2"/>
      <c r="L14" s="2"/>
      <c r="M14" s="2">
        <f t="shared" si="0"/>
        <v>5.99</v>
      </c>
      <c r="N14" s="11">
        <f t="shared" si="1"/>
        <v>71</v>
      </c>
      <c r="O14" s="11">
        <f t="shared" si="2"/>
        <v>0.08</v>
      </c>
      <c r="P14" s="11">
        <f t="shared" si="3"/>
        <v>0</v>
      </c>
    </row>
    <row r="15" spans="1:16" ht="12.75">
      <c r="A15" s="3">
        <f t="shared" si="6"/>
        <v>3</v>
      </c>
      <c r="B15" s="8" t="s">
        <v>28</v>
      </c>
      <c r="C15" s="2">
        <v>2.463</v>
      </c>
      <c r="D15" s="2">
        <v>0.26</v>
      </c>
      <c r="E15" s="2">
        <f>0.29+0.08+0.27+0.14+0.18+0.03+0.009+0.248+0.3+0.22+0.415+0.27+0.16+0.4+0.4+0.15+0.014</f>
        <v>3.5759999999999996</v>
      </c>
      <c r="F15" s="2">
        <v>0.58</v>
      </c>
      <c r="G15" s="2">
        <v>52</v>
      </c>
      <c r="H15" s="2"/>
      <c r="I15" s="2"/>
      <c r="J15" s="2">
        <v>4</v>
      </c>
      <c r="K15" s="2"/>
      <c r="L15" s="2"/>
      <c r="M15" s="2">
        <f t="shared" si="0"/>
        <v>6.039</v>
      </c>
      <c r="N15" s="11">
        <f t="shared" si="1"/>
        <v>52</v>
      </c>
      <c r="O15" s="11">
        <f t="shared" si="2"/>
        <v>0.84</v>
      </c>
      <c r="P15" s="11">
        <f t="shared" si="3"/>
        <v>4</v>
      </c>
    </row>
    <row r="16" spans="1:16" ht="12.75">
      <c r="A16" s="3">
        <f t="shared" si="6"/>
        <v>4</v>
      </c>
      <c r="B16" s="8" t="s">
        <v>29</v>
      </c>
      <c r="C16" s="19">
        <f>3.549+0.25-0.512+0.084+0.11+0.335</f>
        <v>3.816</v>
      </c>
      <c r="D16" s="2">
        <f>0.355-0.25</f>
        <v>0.10499999999999998</v>
      </c>
      <c r="E16" s="48">
        <f>0.31+0.07+0.2+0.02+0.375+0.24+0.135+0.25+0.56+0.285+0.05</f>
        <v>2.495</v>
      </c>
      <c r="F16" s="2">
        <v>0.09</v>
      </c>
      <c r="G16" s="19">
        <f>39-6+2+1+7</f>
        <v>43</v>
      </c>
      <c r="H16" s="19">
        <f>30-1</f>
        <v>29</v>
      </c>
      <c r="I16" s="2">
        <v>1</v>
      </c>
      <c r="J16" s="2">
        <v>1</v>
      </c>
      <c r="K16" s="2">
        <f>6-5</f>
        <v>1</v>
      </c>
      <c r="L16" s="2"/>
      <c r="M16" s="2">
        <f t="shared" si="0"/>
        <v>6.311</v>
      </c>
      <c r="N16" s="11">
        <f t="shared" si="1"/>
        <v>73</v>
      </c>
      <c r="O16" s="11">
        <f t="shared" si="2"/>
        <v>0.19499999999999998</v>
      </c>
      <c r="P16" s="11">
        <f t="shared" si="3"/>
        <v>2</v>
      </c>
    </row>
    <row r="17" spans="1:16" ht="12.75">
      <c r="A17" s="3">
        <f t="shared" si="6"/>
        <v>5</v>
      </c>
      <c r="B17" s="8" t="s">
        <v>30</v>
      </c>
      <c r="C17" s="2">
        <v>2.007</v>
      </c>
      <c r="D17" s="2"/>
      <c r="E17" s="2">
        <v>1.305</v>
      </c>
      <c r="F17" s="2">
        <v>0.05</v>
      </c>
      <c r="G17" s="2">
        <v>43</v>
      </c>
      <c r="H17" s="2"/>
      <c r="I17" s="2"/>
      <c r="J17" s="2"/>
      <c r="K17" s="2"/>
      <c r="L17" s="2"/>
      <c r="M17" s="2">
        <f t="shared" si="0"/>
        <v>3.3120000000000003</v>
      </c>
      <c r="N17" s="11">
        <f t="shared" si="1"/>
        <v>43</v>
      </c>
      <c r="O17" s="11">
        <f t="shared" si="2"/>
        <v>0.05</v>
      </c>
      <c r="P17" s="11">
        <f t="shared" si="3"/>
        <v>0</v>
      </c>
    </row>
    <row r="18" spans="1:16" ht="12.75">
      <c r="A18" s="3">
        <f t="shared" si="6"/>
        <v>6</v>
      </c>
      <c r="B18" s="8" t="s">
        <v>31</v>
      </c>
      <c r="C18" s="2">
        <v>1.912</v>
      </c>
      <c r="D18" s="2"/>
      <c r="E18" s="2">
        <f>0.07+0.03</f>
        <v>0.1</v>
      </c>
      <c r="F18" s="2"/>
      <c r="G18" s="2">
        <v>25</v>
      </c>
      <c r="H18" s="2"/>
      <c r="I18" s="2"/>
      <c r="J18" s="48"/>
      <c r="K18" s="2"/>
      <c r="L18" s="2"/>
      <c r="M18" s="2">
        <f t="shared" si="0"/>
        <v>2.012</v>
      </c>
      <c r="N18" s="11">
        <f t="shared" si="1"/>
        <v>25</v>
      </c>
      <c r="O18" s="11">
        <f t="shared" si="2"/>
        <v>0</v>
      </c>
      <c r="P18" s="11">
        <f t="shared" si="3"/>
        <v>0</v>
      </c>
    </row>
    <row r="19" spans="1:16" ht="12.75">
      <c r="A19" s="3">
        <f t="shared" si="6"/>
        <v>7</v>
      </c>
      <c r="B19" s="8" t="s">
        <v>32</v>
      </c>
      <c r="C19" s="2">
        <v>2.232</v>
      </c>
      <c r="D19" s="2"/>
      <c r="E19" s="2">
        <v>1.22</v>
      </c>
      <c r="F19" s="2">
        <v>0.09</v>
      </c>
      <c r="G19" s="2">
        <v>51</v>
      </c>
      <c r="H19" s="2"/>
      <c r="I19" s="2"/>
      <c r="J19" s="2"/>
      <c r="K19" s="2"/>
      <c r="L19" s="2"/>
      <c r="M19" s="2">
        <f t="shared" si="0"/>
        <v>3.452</v>
      </c>
      <c r="N19" s="11">
        <f t="shared" si="1"/>
        <v>51</v>
      </c>
      <c r="O19" s="11">
        <f t="shared" si="2"/>
        <v>0.09</v>
      </c>
      <c r="P19" s="11">
        <f t="shared" si="3"/>
        <v>0</v>
      </c>
    </row>
    <row r="20" spans="1:16" ht="12.75">
      <c r="A20" s="3">
        <f t="shared" si="6"/>
        <v>8</v>
      </c>
      <c r="B20" s="8" t="s">
        <v>33</v>
      </c>
      <c r="C20" s="2"/>
      <c r="D20" s="2"/>
      <c r="E20" s="2">
        <v>1.27</v>
      </c>
      <c r="F20" s="2"/>
      <c r="G20" s="2"/>
      <c r="H20" s="2"/>
      <c r="I20" s="2"/>
      <c r="J20" s="2"/>
      <c r="K20" s="2"/>
      <c r="L20" s="2"/>
      <c r="M20" s="2">
        <f t="shared" si="0"/>
        <v>1.27</v>
      </c>
      <c r="N20" s="11">
        <f t="shared" si="1"/>
        <v>0</v>
      </c>
      <c r="O20" s="11">
        <f t="shared" si="2"/>
        <v>0</v>
      </c>
      <c r="P20" s="11">
        <f t="shared" si="3"/>
        <v>0</v>
      </c>
    </row>
    <row r="21" spans="1:16" ht="13.5" thickBot="1">
      <c r="A21" s="9">
        <f t="shared" si="6"/>
        <v>9</v>
      </c>
      <c r="B21" s="10" t="s">
        <v>34</v>
      </c>
      <c r="C21" s="11"/>
      <c r="D21" s="11"/>
      <c r="E21" s="11">
        <v>1.866</v>
      </c>
      <c r="F21" s="11"/>
      <c r="G21" s="11"/>
      <c r="H21" s="11"/>
      <c r="I21" s="11"/>
      <c r="J21" s="11"/>
      <c r="K21" s="11"/>
      <c r="L21" s="11"/>
      <c r="M21" s="11">
        <f t="shared" si="0"/>
        <v>1.866</v>
      </c>
      <c r="N21" s="11">
        <f t="shared" si="1"/>
        <v>0</v>
      </c>
      <c r="O21" s="11">
        <f t="shared" si="2"/>
        <v>0</v>
      </c>
      <c r="P21" s="11">
        <f t="shared" si="3"/>
        <v>0</v>
      </c>
    </row>
    <row r="22" spans="1:16" s="24" customFormat="1" ht="15.75" thickBot="1">
      <c r="A22" s="20"/>
      <c r="B22" s="21" t="s">
        <v>35</v>
      </c>
      <c r="C22" s="22">
        <f aca="true" t="shared" si="7" ref="C22:L22">SUM(C13:C21)</f>
        <v>19.014</v>
      </c>
      <c r="D22" s="22">
        <f t="shared" si="7"/>
        <v>0.655</v>
      </c>
      <c r="E22" s="22">
        <f t="shared" si="7"/>
        <v>16.691</v>
      </c>
      <c r="F22" s="22">
        <f t="shared" si="7"/>
        <v>1.1530000000000002</v>
      </c>
      <c r="G22" s="22">
        <f t="shared" si="7"/>
        <v>342</v>
      </c>
      <c r="H22" s="22">
        <f t="shared" si="7"/>
        <v>30</v>
      </c>
      <c r="I22" s="22">
        <f t="shared" si="7"/>
        <v>1</v>
      </c>
      <c r="J22" s="22">
        <f t="shared" si="7"/>
        <v>11</v>
      </c>
      <c r="K22" s="22">
        <f t="shared" si="7"/>
        <v>1</v>
      </c>
      <c r="L22" s="22">
        <f t="shared" si="7"/>
        <v>0</v>
      </c>
      <c r="M22" s="22">
        <f t="shared" si="0"/>
        <v>35.705</v>
      </c>
      <c r="N22" s="22">
        <f t="shared" si="1"/>
        <v>373</v>
      </c>
      <c r="O22" s="22">
        <f t="shared" si="2"/>
        <v>1.8080000000000003</v>
      </c>
      <c r="P22" s="23">
        <f t="shared" si="3"/>
        <v>12</v>
      </c>
    </row>
    <row r="23" spans="1:16" ht="12.75">
      <c r="A23" s="14">
        <v>1</v>
      </c>
      <c r="B23" s="15" t="s">
        <v>36</v>
      </c>
      <c r="C23" s="16">
        <v>8.316</v>
      </c>
      <c r="D23" s="16"/>
      <c r="E23" s="16">
        <v>0.22</v>
      </c>
      <c r="F23" s="16">
        <v>0.15</v>
      </c>
      <c r="G23" s="16">
        <f>96+9+2+1+4</f>
        <v>112</v>
      </c>
      <c r="H23" s="16">
        <f>45-9-2-1-4-1</f>
        <v>28</v>
      </c>
      <c r="I23" s="16"/>
      <c r="J23" s="16"/>
      <c r="K23" s="16"/>
      <c r="L23" s="16"/>
      <c r="M23" s="16">
        <f t="shared" si="0"/>
        <v>8.536000000000001</v>
      </c>
      <c r="N23" s="18">
        <f t="shared" si="1"/>
        <v>140</v>
      </c>
      <c r="O23" s="18">
        <f t="shared" si="2"/>
        <v>0.15</v>
      </c>
      <c r="P23" s="18">
        <f t="shared" si="3"/>
        <v>0</v>
      </c>
    </row>
    <row r="24" spans="1:16" ht="12.75">
      <c r="A24" s="3">
        <v>2</v>
      </c>
      <c r="B24" s="8" t="s">
        <v>37</v>
      </c>
      <c r="C24" s="2">
        <v>5.208</v>
      </c>
      <c r="D24" s="2"/>
      <c r="E24" s="2">
        <v>0.877</v>
      </c>
      <c r="F24" s="2"/>
      <c r="G24" s="2">
        <f>97+4</f>
        <v>101</v>
      </c>
      <c r="H24" s="2">
        <f>3-3</f>
        <v>0</v>
      </c>
      <c r="I24" s="2">
        <f>1-1</f>
        <v>0</v>
      </c>
      <c r="J24" s="2"/>
      <c r="K24" s="2"/>
      <c r="L24" s="2"/>
      <c r="M24" s="2">
        <f t="shared" si="0"/>
        <v>6.085</v>
      </c>
      <c r="N24" s="11">
        <f t="shared" si="1"/>
        <v>101</v>
      </c>
      <c r="O24" s="11">
        <f t="shared" si="2"/>
        <v>0</v>
      </c>
      <c r="P24" s="11">
        <f t="shared" si="3"/>
        <v>0</v>
      </c>
    </row>
    <row r="25" spans="1:16" ht="12.75">
      <c r="A25" s="3">
        <v>3</v>
      </c>
      <c r="B25" s="8" t="s">
        <v>38</v>
      </c>
      <c r="C25" s="2">
        <f>11.951+1</f>
        <v>12.951</v>
      </c>
      <c r="D25" s="2">
        <f>3.618-1</f>
        <v>2.618</v>
      </c>
      <c r="E25" s="2">
        <v>0.492</v>
      </c>
      <c r="F25" s="2">
        <v>0.1</v>
      </c>
      <c r="G25" s="19">
        <f>130+1+3+5+9+1+1+3+2+4</f>
        <v>159</v>
      </c>
      <c r="H25" s="19">
        <f>71-3-5-9-1-1-3-7+12</f>
        <v>54</v>
      </c>
      <c r="I25" s="2">
        <f>2-2</f>
        <v>0</v>
      </c>
      <c r="J25" s="2"/>
      <c r="K25" s="2">
        <f>72-12</f>
        <v>60</v>
      </c>
      <c r="L25" s="2"/>
      <c r="M25" s="2">
        <f t="shared" si="0"/>
        <v>13.443000000000001</v>
      </c>
      <c r="N25" s="11">
        <f t="shared" si="1"/>
        <v>213</v>
      </c>
      <c r="O25" s="11">
        <f t="shared" si="2"/>
        <v>2.718</v>
      </c>
      <c r="P25" s="11">
        <f t="shared" si="3"/>
        <v>60</v>
      </c>
    </row>
    <row r="26" spans="1:16" ht="12.75">
      <c r="A26" s="3">
        <v>4</v>
      </c>
      <c r="B26" s="8" t="s">
        <v>39</v>
      </c>
      <c r="C26" s="2">
        <v>0.534</v>
      </c>
      <c r="D26" s="2">
        <v>0.578</v>
      </c>
      <c r="E26" s="2">
        <v>0.02</v>
      </c>
      <c r="F26" s="2">
        <v>0.22</v>
      </c>
      <c r="G26" s="2">
        <v>11</v>
      </c>
      <c r="H26" s="2"/>
      <c r="I26" s="2"/>
      <c r="J26" s="2">
        <v>10</v>
      </c>
      <c r="K26" s="2">
        <v>2</v>
      </c>
      <c r="L26" s="2"/>
      <c r="M26" s="2">
        <f t="shared" si="0"/>
        <v>0.554</v>
      </c>
      <c r="N26" s="11">
        <f t="shared" si="1"/>
        <v>11</v>
      </c>
      <c r="O26" s="11">
        <f t="shared" si="2"/>
        <v>0.7979999999999999</v>
      </c>
      <c r="P26" s="11">
        <f t="shared" si="3"/>
        <v>12</v>
      </c>
    </row>
    <row r="27" spans="1:16" ht="12.75">
      <c r="A27" s="3">
        <v>5</v>
      </c>
      <c r="B27" s="8" t="s">
        <v>40</v>
      </c>
      <c r="C27" s="2">
        <v>2.3</v>
      </c>
      <c r="D27" s="2">
        <v>15.25</v>
      </c>
      <c r="E27" s="19">
        <f>0.19+0.09</f>
        <v>0.28</v>
      </c>
      <c r="F27" s="2">
        <v>0.295</v>
      </c>
      <c r="G27" s="2">
        <f>19+10+1+1+4</f>
        <v>35</v>
      </c>
      <c r="H27" s="19">
        <v>6</v>
      </c>
      <c r="I27" s="2">
        <v>1</v>
      </c>
      <c r="J27" s="2">
        <v>79</v>
      </c>
      <c r="K27" s="2">
        <v>138</v>
      </c>
      <c r="L27" s="2"/>
      <c r="M27" s="2">
        <f t="shared" si="0"/>
        <v>2.58</v>
      </c>
      <c r="N27" s="11">
        <f t="shared" si="1"/>
        <v>42</v>
      </c>
      <c r="O27" s="11">
        <f t="shared" si="2"/>
        <v>15.545</v>
      </c>
      <c r="P27" s="11">
        <f t="shared" si="3"/>
        <v>217</v>
      </c>
    </row>
    <row r="28" spans="1:16" ht="13.5" thickBot="1">
      <c r="A28" s="9">
        <v>6</v>
      </c>
      <c r="B28" s="10" t="s">
        <v>41</v>
      </c>
      <c r="C28" s="12">
        <f>8.81+0.11</f>
        <v>8.92</v>
      </c>
      <c r="D28" s="11">
        <f>15.416+0.48</f>
        <v>15.896</v>
      </c>
      <c r="E28" s="12">
        <f>0.29+0.035</f>
        <v>0.32499999999999996</v>
      </c>
      <c r="F28" s="11">
        <f>1.215+0.22</f>
        <v>1.435</v>
      </c>
      <c r="G28" s="12">
        <f>68+20+9+2</f>
        <v>99</v>
      </c>
      <c r="H28" s="11">
        <f>42-20</f>
        <v>22</v>
      </c>
      <c r="I28" s="11"/>
      <c r="J28" s="11">
        <f>32-9</f>
        <v>23</v>
      </c>
      <c r="K28" s="11">
        <f>166+10</f>
        <v>176</v>
      </c>
      <c r="L28" s="11">
        <v>5</v>
      </c>
      <c r="M28" s="11">
        <f t="shared" si="0"/>
        <v>9.245</v>
      </c>
      <c r="N28" s="11">
        <f t="shared" si="1"/>
        <v>121</v>
      </c>
      <c r="O28" s="11">
        <f t="shared" si="2"/>
        <v>17.331</v>
      </c>
      <c r="P28" s="11">
        <f t="shared" si="3"/>
        <v>204</v>
      </c>
    </row>
    <row r="29" spans="1:16" s="13" customFormat="1" ht="15.75" thickBot="1">
      <c r="A29" s="25"/>
      <c r="B29" s="26" t="s">
        <v>42</v>
      </c>
      <c r="C29" s="27">
        <f aca="true" t="shared" si="8" ref="C29:L29">SUM(C23:C28)</f>
        <v>38.229</v>
      </c>
      <c r="D29" s="27">
        <f t="shared" si="8"/>
        <v>34.342</v>
      </c>
      <c r="E29" s="27">
        <f t="shared" si="8"/>
        <v>2.214</v>
      </c>
      <c r="F29" s="27">
        <f t="shared" si="8"/>
        <v>2.2</v>
      </c>
      <c r="G29" s="27">
        <f t="shared" si="8"/>
        <v>517</v>
      </c>
      <c r="H29" s="27">
        <f t="shared" si="8"/>
        <v>110</v>
      </c>
      <c r="I29" s="27">
        <f t="shared" si="8"/>
        <v>1</v>
      </c>
      <c r="J29" s="27">
        <f t="shared" si="8"/>
        <v>112</v>
      </c>
      <c r="K29" s="27">
        <f t="shared" si="8"/>
        <v>376</v>
      </c>
      <c r="L29" s="27">
        <f t="shared" si="8"/>
        <v>5</v>
      </c>
      <c r="M29" s="27">
        <f t="shared" si="0"/>
        <v>40.443</v>
      </c>
      <c r="N29" s="27">
        <f t="shared" si="1"/>
        <v>628</v>
      </c>
      <c r="O29" s="27">
        <f t="shared" si="2"/>
        <v>36.542</v>
      </c>
      <c r="P29" s="28">
        <f t="shared" si="3"/>
        <v>493</v>
      </c>
    </row>
    <row r="30" spans="1:16" ht="12.75">
      <c r="A30" s="14">
        <v>1</v>
      </c>
      <c r="B30" s="15" t="s">
        <v>43</v>
      </c>
      <c r="C30" s="16"/>
      <c r="D30" s="16"/>
      <c r="E30" s="16">
        <v>2.63</v>
      </c>
      <c r="F30" s="16"/>
      <c r="G30" s="16"/>
      <c r="H30" s="16"/>
      <c r="I30" s="16"/>
      <c r="J30" s="16"/>
      <c r="K30" s="16"/>
      <c r="L30" s="16"/>
      <c r="M30" s="18">
        <f t="shared" si="0"/>
        <v>2.63</v>
      </c>
      <c r="N30" s="18">
        <f t="shared" si="1"/>
        <v>0</v>
      </c>
      <c r="O30" s="18">
        <f t="shared" si="2"/>
        <v>0</v>
      </c>
      <c r="P30" s="18">
        <f t="shared" si="3"/>
        <v>0</v>
      </c>
    </row>
    <row r="31" spans="1:16" ht="12.75">
      <c r="A31" s="3">
        <v>2</v>
      </c>
      <c r="B31" s="8" t="s">
        <v>44</v>
      </c>
      <c r="C31" s="2"/>
      <c r="D31" s="2"/>
      <c r="E31" s="2">
        <v>2.63</v>
      </c>
      <c r="F31" s="2"/>
      <c r="G31" s="2"/>
      <c r="H31" s="2"/>
      <c r="I31" s="2"/>
      <c r="J31" s="2"/>
      <c r="K31" s="2"/>
      <c r="L31" s="2"/>
      <c r="M31" s="2">
        <f t="shared" si="0"/>
        <v>2.63</v>
      </c>
      <c r="N31" s="11">
        <f t="shared" si="1"/>
        <v>0</v>
      </c>
      <c r="O31" s="11">
        <f t="shared" si="2"/>
        <v>0</v>
      </c>
      <c r="P31" s="11">
        <f t="shared" si="3"/>
        <v>0</v>
      </c>
    </row>
    <row r="32" spans="1:16" ht="12.75">
      <c r="A32" s="3">
        <v>3</v>
      </c>
      <c r="B32" s="8" t="s">
        <v>45</v>
      </c>
      <c r="C32" s="2"/>
      <c r="D32" s="2"/>
      <c r="E32" s="2">
        <v>1.235</v>
      </c>
      <c r="F32" s="2"/>
      <c r="G32" s="2"/>
      <c r="H32" s="2"/>
      <c r="I32" s="2"/>
      <c r="J32" s="2"/>
      <c r="K32" s="2"/>
      <c r="L32" s="2"/>
      <c r="M32" s="2">
        <f t="shared" si="0"/>
        <v>1.235</v>
      </c>
      <c r="N32" s="11">
        <f t="shared" si="1"/>
        <v>0</v>
      </c>
      <c r="O32" s="11">
        <f t="shared" si="2"/>
        <v>0</v>
      </c>
      <c r="P32" s="11">
        <f t="shared" si="3"/>
        <v>0</v>
      </c>
    </row>
    <row r="33" spans="1:16" ht="12.75">
      <c r="A33" s="3">
        <v>4</v>
      </c>
      <c r="B33" s="8" t="s">
        <v>46</v>
      </c>
      <c r="C33" s="2"/>
      <c r="D33" s="2"/>
      <c r="E33" s="2">
        <v>1.235</v>
      </c>
      <c r="F33" s="2"/>
      <c r="G33" s="2"/>
      <c r="H33" s="2"/>
      <c r="I33" s="2"/>
      <c r="J33" s="2"/>
      <c r="K33" s="2"/>
      <c r="L33" s="2"/>
      <c r="M33" s="2">
        <f t="shared" si="0"/>
        <v>1.235</v>
      </c>
      <c r="N33" s="11">
        <f t="shared" si="1"/>
        <v>0</v>
      </c>
      <c r="O33" s="11">
        <f t="shared" si="2"/>
        <v>0</v>
      </c>
      <c r="P33" s="11">
        <f t="shared" si="3"/>
        <v>0</v>
      </c>
    </row>
    <row r="34" spans="1:16" ht="12.75">
      <c r="A34" s="3">
        <v>5</v>
      </c>
      <c r="B34" s="8" t="s">
        <v>47</v>
      </c>
      <c r="C34" s="2"/>
      <c r="D34" s="2"/>
      <c r="E34" s="2">
        <v>0.46</v>
      </c>
      <c r="F34" s="2"/>
      <c r="G34" s="2"/>
      <c r="H34" s="2"/>
      <c r="I34" s="2"/>
      <c r="J34" s="2"/>
      <c r="K34" s="2"/>
      <c r="L34" s="2"/>
      <c r="M34" s="2">
        <f t="shared" si="0"/>
        <v>0.46</v>
      </c>
      <c r="N34" s="11">
        <f t="shared" si="1"/>
        <v>0</v>
      </c>
      <c r="O34" s="11">
        <f t="shared" si="2"/>
        <v>0</v>
      </c>
      <c r="P34" s="11">
        <f t="shared" si="3"/>
        <v>0</v>
      </c>
    </row>
    <row r="35" spans="1:16" ht="12.75">
      <c r="A35" s="3">
        <v>6</v>
      </c>
      <c r="B35" s="8" t="s">
        <v>48</v>
      </c>
      <c r="C35" s="2"/>
      <c r="D35" s="2"/>
      <c r="E35" s="2">
        <v>1.35</v>
      </c>
      <c r="F35" s="2"/>
      <c r="G35" s="2"/>
      <c r="H35" s="2"/>
      <c r="I35" s="2"/>
      <c r="J35" s="2"/>
      <c r="K35" s="2"/>
      <c r="L35" s="2"/>
      <c r="M35" s="2">
        <f t="shared" si="0"/>
        <v>1.35</v>
      </c>
      <c r="N35" s="11">
        <f t="shared" si="1"/>
        <v>0</v>
      </c>
      <c r="O35" s="11">
        <f t="shared" si="2"/>
        <v>0</v>
      </c>
      <c r="P35" s="11">
        <f t="shared" si="3"/>
        <v>0</v>
      </c>
    </row>
    <row r="36" spans="1:16" ht="12.75">
      <c r="A36" s="3">
        <v>7</v>
      </c>
      <c r="B36" s="8" t="s">
        <v>49</v>
      </c>
      <c r="C36" s="2">
        <v>3.62</v>
      </c>
      <c r="D36" s="2">
        <v>0.45</v>
      </c>
      <c r="E36" s="2">
        <v>1.096</v>
      </c>
      <c r="F36" s="2">
        <v>0.138</v>
      </c>
      <c r="G36" s="2">
        <v>67</v>
      </c>
      <c r="H36" s="2">
        <v>4</v>
      </c>
      <c r="I36" s="2"/>
      <c r="J36" s="2">
        <v>9</v>
      </c>
      <c r="K36" s="2"/>
      <c r="L36" s="2"/>
      <c r="M36" s="2">
        <f t="shared" si="0"/>
        <v>4.716</v>
      </c>
      <c r="N36" s="11">
        <f t="shared" si="1"/>
        <v>71</v>
      </c>
      <c r="O36" s="11">
        <f t="shared" si="2"/>
        <v>0.5880000000000001</v>
      </c>
      <c r="P36" s="11">
        <f t="shared" si="3"/>
        <v>9</v>
      </c>
    </row>
    <row r="37" spans="1:16" ht="12.75">
      <c r="A37" s="3">
        <v>8</v>
      </c>
      <c r="B37" s="8" t="s">
        <v>50</v>
      </c>
      <c r="C37" s="2"/>
      <c r="D37" s="2"/>
      <c r="E37" s="2">
        <v>0.49</v>
      </c>
      <c r="F37" s="2"/>
      <c r="G37" s="2"/>
      <c r="H37" s="2"/>
      <c r="I37" s="2"/>
      <c r="J37" s="2"/>
      <c r="K37" s="2"/>
      <c r="L37" s="2"/>
      <c r="M37" s="2">
        <f t="shared" si="0"/>
        <v>0.49</v>
      </c>
      <c r="N37" s="11">
        <f t="shared" si="1"/>
        <v>0</v>
      </c>
      <c r="O37" s="11">
        <f t="shared" si="2"/>
        <v>0</v>
      </c>
      <c r="P37" s="11">
        <f t="shared" si="3"/>
        <v>0</v>
      </c>
    </row>
    <row r="38" spans="1:16" ht="13.5" thickBot="1">
      <c r="A38" s="9">
        <v>9</v>
      </c>
      <c r="B38" s="10" t="s">
        <v>51</v>
      </c>
      <c r="C38" s="11">
        <v>0.41</v>
      </c>
      <c r="D38" s="11">
        <v>0.11</v>
      </c>
      <c r="E38" s="11">
        <v>1.148</v>
      </c>
      <c r="F38" s="11"/>
      <c r="G38" s="11">
        <v>8</v>
      </c>
      <c r="H38" s="11"/>
      <c r="I38" s="11"/>
      <c r="J38" s="11"/>
      <c r="K38" s="11">
        <v>3</v>
      </c>
      <c r="L38" s="11"/>
      <c r="M38" s="18">
        <f t="shared" si="0"/>
        <v>1.5579999999999998</v>
      </c>
      <c r="N38" s="11">
        <f t="shared" si="1"/>
        <v>8</v>
      </c>
      <c r="O38" s="11">
        <f t="shared" si="2"/>
        <v>0.11</v>
      </c>
      <c r="P38" s="11">
        <f t="shared" si="3"/>
        <v>3</v>
      </c>
    </row>
    <row r="39" spans="1:16" s="13" customFormat="1" ht="15.75" thickBot="1">
      <c r="A39" s="25"/>
      <c r="B39" s="26" t="s">
        <v>52</v>
      </c>
      <c r="C39" s="27">
        <f aca="true" t="shared" si="9" ref="C39:L39">SUM(C30:C38)</f>
        <v>4.03</v>
      </c>
      <c r="D39" s="27">
        <f t="shared" si="9"/>
        <v>0.56</v>
      </c>
      <c r="E39" s="27">
        <f t="shared" si="9"/>
        <v>12.274000000000001</v>
      </c>
      <c r="F39" s="27">
        <f t="shared" si="9"/>
        <v>0.138</v>
      </c>
      <c r="G39" s="27">
        <f t="shared" si="9"/>
        <v>75</v>
      </c>
      <c r="H39" s="27">
        <f t="shared" si="9"/>
        <v>4</v>
      </c>
      <c r="I39" s="27">
        <f t="shared" si="9"/>
        <v>0</v>
      </c>
      <c r="J39" s="27">
        <f t="shared" si="9"/>
        <v>9</v>
      </c>
      <c r="K39" s="27">
        <f t="shared" si="9"/>
        <v>3</v>
      </c>
      <c r="L39" s="27">
        <f t="shared" si="9"/>
        <v>0</v>
      </c>
      <c r="M39" s="27">
        <f t="shared" si="0"/>
        <v>16.304000000000002</v>
      </c>
      <c r="N39" s="27">
        <f t="shared" si="1"/>
        <v>79</v>
      </c>
      <c r="O39" s="27">
        <f t="shared" si="2"/>
        <v>0.6980000000000001</v>
      </c>
      <c r="P39" s="28">
        <f t="shared" si="3"/>
        <v>12</v>
      </c>
    </row>
    <row r="40" spans="1:16" ht="12.75">
      <c r="A40" s="14">
        <v>1</v>
      </c>
      <c r="B40" s="15" t="s">
        <v>53</v>
      </c>
      <c r="C40" s="16">
        <v>0.16</v>
      </c>
      <c r="D40" s="16"/>
      <c r="E40" s="16">
        <v>0.052</v>
      </c>
      <c r="F40" s="16"/>
      <c r="G40" s="16">
        <v>3</v>
      </c>
      <c r="H40" s="16"/>
      <c r="I40" s="16"/>
      <c r="J40" s="16"/>
      <c r="K40" s="16"/>
      <c r="L40" s="16"/>
      <c r="M40" s="18">
        <f t="shared" si="0"/>
        <v>0.212</v>
      </c>
      <c r="N40" s="18">
        <f t="shared" si="1"/>
        <v>3</v>
      </c>
      <c r="O40" s="18">
        <f t="shared" si="2"/>
        <v>0</v>
      </c>
      <c r="P40" s="18">
        <f t="shared" si="3"/>
        <v>0</v>
      </c>
    </row>
    <row r="41" spans="1:16" ht="12.75">
      <c r="A41" s="3">
        <v>2</v>
      </c>
      <c r="B41" s="8" t="s">
        <v>54</v>
      </c>
      <c r="C41" s="2">
        <v>0.839</v>
      </c>
      <c r="D41" s="2"/>
      <c r="E41" s="2">
        <v>0.157</v>
      </c>
      <c r="F41" s="2"/>
      <c r="G41" s="2">
        <v>17</v>
      </c>
      <c r="H41" s="2"/>
      <c r="I41" s="2"/>
      <c r="J41" s="2"/>
      <c r="K41" s="2"/>
      <c r="L41" s="2"/>
      <c r="M41" s="2">
        <f t="shared" si="0"/>
        <v>0.996</v>
      </c>
      <c r="N41" s="11">
        <f t="shared" si="1"/>
        <v>17</v>
      </c>
      <c r="O41" s="11">
        <f t="shared" si="2"/>
        <v>0</v>
      </c>
      <c r="P41" s="11">
        <f t="shared" si="3"/>
        <v>0</v>
      </c>
    </row>
    <row r="42" spans="1:16" ht="12.75">
      <c r="A42" s="3">
        <v>3</v>
      </c>
      <c r="B42" s="8" t="s">
        <v>55</v>
      </c>
      <c r="C42" s="2">
        <f>2.468+0.1</f>
        <v>2.568</v>
      </c>
      <c r="D42" s="2"/>
      <c r="E42" s="2">
        <f>1.414+0.21</f>
        <v>1.6239999999999999</v>
      </c>
      <c r="F42" s="2"/>
      <c r="G42" s="2">
        <f>32+2</f>
        <v>34</v>
      </c>
      <c r="H42" s="2"/>
      <c r="I42" s="2"/>
      <c r="J42" s="2"/>
      <c r="K42" s="2"/>
      <c r="L42" s="2"/>
      <c r="M42" s="2">
        <f t="shared" si="0"/>
        <v>4.192</v>
      </c>
      <c r="N42" s="11">
        <f t="shared" si="1"/>
        <v>34</v>
      </c>
      <c r="O42" s="11">
        <f t="shared" si="2"/>
        <v>0</v>
      </c>
      <c r="P42" s="11">
        <f t="shared" si="3"/>
        <v>0</v>
      </c>
    </row>
    <row r="43" spans="1:16" ht="13.5" thickBot="1">
      <c r="A43" s="9">
        <v>4</v>
      </c>
      <c r="B43" s="10" t="s">
        <v>56</v>
      </c>
      <c r="C43" s="11">
        <v>0.15</v>
      </c>
      <c r="D43" s="11"/>
      <c r="E43" s="11">
        <f>0.105+0.055</f>
        <v>0.16</v>
      </c>
      <c r="F43" s="11"/>
      <c r="G43" s="11">
        <v>4</v>
      </c>
      <c r="H43" s="11"/>
      <c r="I43" s="11"/>
      <c r="J43" s="11"/>
      <c r="K43" s="11"/>
      <c r="L43" s="11"/>
      <c r="M43" s="18">
        <f t="shared" si="0"/>
        <v>0.31</v>
      </c>
      <c r="N43" s="29">
        <f t="shared" si="1"/>
        <v>4</v>
      </c>
      <c r="O43" s="29"/>
      <c r="P43" s="29"/>
    </row>
    <row r="44" spans="1:16" s="24" customFormat="1" ht="15.75" thickBot="1">
      <c r="A44" s="30"/>
      <c r="B44" s="22" t="s">
        <v>57</v>
      </c>
      <c r="C44" s="22">
        <f aca="true" t="shared" si="10" ref="C44:L44">SUM(C40:C43)</f>
        <v>3.717</v>
      </c>
      <c r="D44" s="22">
        <f t="shared" si="10"/>
        <v>0</v>
      </c>
      <c r="E44" s="22">
        <f t="shared" si="10"/>
        <v>1.9929999999999999</v>
      </c>
      <c r="F44" s="22">
        <f t="shared" si="10"/>
        <v>0</v>
      </c>
      <c r="G44" s="22">
        <f t="shared" si="10"/>
        <v>58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0"/>
        <v>5.71</v>
      </c>
      <c r="N44" s="22">
        <f>SUM(N40:N43)</f>
        <v>58</v>
      </c>
      <c r="O44" s="22">
        <f>SUM(O40:O43)</f>
        <v>0</v>
      </c>
      <c r="P44" s="23">
        <f>SUM(P40:P43)</f>
        <v>0</v>
      </c>
    </row>
    <row r="45" spans="1:16" s="24" customFormat="1" ht="15.75" thickBot="1">
      <c r="A45" s="30"/>
      <c r="B45" s="22" t="s">
        <v>58</v>
      </c>
      <c r="C45" s="22">
        <v>0.85</v>
      </c>
      <c r="D45" s="22"/>
      <c r="E45" s="22">
        <v>0.23</v>
      </c>
      <c r="F45" s="22"/>
      <c r="G45" s="22">
        <v>8</v>
      </c>
      <c r="H45" s="22">
        <v>9</v>
      </c>
      <c r="I45" s="22"/>
      <c r="J45" s="22"/>
      <c r="K45" s="22"/>
      <c r="L45" s="22">
        <v>1</v>
      </c>
      <c r="M45" s="22"/>
      <c r="N45" s="22"/>
      <c r="O45" s="31"/>
      <c r="P45" s="32"/>
    </row>
    <row r="46" spans="1:16" s="24" customFormat="1" ht="15.75" thickBot="1">
      <c r="A46" s="30"/>
      <c r="B46" s="22" t="s">
        <v>59</v>
      </c>
      <c r="C46" s="22">
        <v>0.4</v>
      </c>
      <c r="D46" s="22"/>
      <c r="E46" s="22">
        <v>0.015</v>
      </c>
      <c r="F46" s="22"/>
      <c r="G46" s="22"/>
      <c r="H46" s="22">
        <v>7</v>
      </c>
      <c r="I46" s="22"/>
      <c r="J46" s="22"/>
      <c r="K46" s="22"/>
      <c r="L46" s="22"/>
      <c r="M46" s="22"/>
      <c r="N46" s="33"/>
      <c r="O46" s="34"/>
      <c r="P46" s="35"/>
    </row>
    <row r="47" spans="1:16" ht="12.75">
      <c r="A47" s="14">
        <v>1</v>
      </c>
      <c r="B47" s="16" t="s">
        <v>60</v>
      </c>
      <c r="C47" s="16"/>
      <c r="D47" s="16"/>
      <c r="E47" s="16">
        <v>0.2</v>
      </c>
      <c r="F47" s="16"/>
      <c r="G47" s="16"/>
      <c r="H47" s="16"/>
      <c r="I47" s="16"/>
      <c r="J47" s="16"/>
      <c r="K47" s="16"/>
      <c r="L47" s="16"/>
      <c r="M47" s="16">
        <v>0.2</v>
      </c>
      <c r="N47" s="2">
        <v>0</v>
      </c>
      <c r="O47" s="2">
        <v>0</v>
      </c>
      <c r="P47" s="2">
        <v>0</v>
      </c>
    </row>
    <row r="48" spans="1:16" ht="13.5" thickBot="1">
      <c r="A48" s="36">
        <v>2</v>
      </c>
      <c r="B48" s="18" t="s">
        <v>61</v>
      </c>
      <c r="C48" s="18"/>
      <c r="D48" s="18"/>
      <c r="E48" s="18">
        <v>0.5</v>
      </c>
      <c r="F48" s="18"/>
      <c r="G48" s="18"/>
      <c r="H48" s="18"/>
      <c r="I48" s="18"/>
      <c r="J48" s="18"/>
      <c r="K48" s="18"/>
      <c r="L48" s="18"/>
      <c r="M48" s="18">
        <v>0.5</v>
      </c>
      <c r="N48" s="11">
        <v>0</v>
      </c>
      <c r="O48" s="11">
        <v>0</v>
      </c>
      <c r="P48" s="11">
        <v>0</v>
      </c>
    </row>
    <row r="49" spans="1:16" s="13" customFormat="1" ht="15.75" thickBot="1">
      <c r="A49" s="37"/>
      <c r="B49" s="27" t="s">
        <v>62</v>
      </c>
      <c r="C49" s="27"/>
      <c r="D49" s="27"/>
      <c r="E49" s="27">
        <f>SUM(E47:E48)</f>
        <v>0.7</v>
      </c>
      <c r="F49" s="27"/>
      <c r="G49" s="27"/>
      <c r="H49" s="27"/>
      <c r="I49" s="27"/>
      <c r="J49" s="27"/>
      <c r="K49" s="27"/>
      <c r="L49" s="27"/>
      <c r="M49" s="27">
        <f>SUM(M47:M48)</f>
        <v>0.7</v>
      </c>
      <c r="N49" s="27">
        <f>SUM(N47:N48)</f>
        <v>0</v>
      </c>
      <c r="O49" s="28">
        <f>SUM(O47:O48)</f>
        <v>0</v>
      </c>
      <c r="P49" s="38">
        <f>SUM(P47:P48)</f>
        <v>0</v>
      </c>
    </row>
    <row r="50" spans="1:16" ht="12.75">
      <c r="A50" s="14">
        <v>1</v>
      </c>
      <c r="B50" s="16" t="s">
        <v>63</v>
      </c>
      <c r="C50" s="16"/>
      <c r="D50" s="16"/>
      <c r="E50" s="16">
        <v>0.32</v>
      </c>
      <c r="F50" s="16"/>
      <c r="G50" s="16"/>
      <c r="H50" s="16"/>
      <c r="I50" s="16"/>
      <c r="J50" s="16"/>
      <c r="K50" s="16"/>
      <c r="L50" s="16"/>
      <c r="M50" s="16">
        <v>0.32</v>
      </c>
      <c r="N50" s="16">
        <v>0</v>
      </c>
      <c r="O50" s="16">
        <v>0</v>
      </c>
      <c r="P50" s="16">
        <v>0</v>
      </c>
    </row>
    <row r="51" spans="1:16" ht="12.75">
      <c r="A51" s="14">
        <v>2</v>
      </c>
      <c r="B51" s="16" t="s">
        <v>64</v>
      </c>
      <c r="C51" s="16">
        <v>0.2</v>
      </c>
      <c r="D51" s="16"/>
      <c r="E51" s="16">
        <v>0.29</v>
      </c>
      <c r="F51" s="16"/>
      <c r="G51" s="16">
        <v>2</v>
      </c>
      <c r="H51" s="16">
        <v>2</v>
      </c>
      <c r="I51" s="16"/>
      <c r="J51" s="16"/>
      <c r="K51" s="16"/>
      <c r="L51" s="16"/>
      <c r="M51" s="16">
        <f>C51+E51</f>
        <v>0.49</v>
      </c>
      <c r="N51" s="16">
        <f>G51+H51</f>
        <v>4</v>
      </c>
      <c r="O51" s="16">
        <v>0</v>
      </c>
      <c r="P51" s="16">
        <v>0</v>
      </c>
    </row>
    <row r="52" spans="1:16" ht="12.75">
      <c r="A52" s="14">
        <v>3</v>
      </c>
      <c r="B52" s="16" t="s">
        <v>65</v>
      </c>
      <c r="C52" s="16"/>
      <c r="D52" s="16"/>
      <c r="E52" s="16"/>
      <c r="F52" s="16">
        <f>2*0.09</f>
        <v>0.18</v>
      </c>
      <c r="G52" s="16"/>
      <c r="H52" s="16"/>
      <c r="I52" s="16"/>
      <c r="J52" s="16"/>
      <c r="K52" s="16"/>
      <c r="L52" s="16"/>
      <c r="M52" s="16">
        <v>0</v>
      </c>
      <c r="N52" s="16">
        <v>0</v>
      </c>
      <c r="O52" s="16">
        <f>2*0.09</f>
        <v>0.18</v>
      </c>
      <c r="P52" s="16">
        <v>0</v>
      </c>
    </row>
    <row r="53" spans="1:16" ht="12.75">
      <c r="A53" s="14">
        <v>4</v>
      </c>
      <c r="B53" s="16" t="s">
        <v>66</v>
      </c>
      <c r="C53" s="16"/>
      <c r="D53" s="16"/>
      <c r="E53" s="16"/>
      <c r="F53" s="16">
        <f>2*0.09</f>
        <v>0.18</v>
      </c>
      <c r="G53" s="16"/>
      <c r="H53" s="16"/>
      <c r="I53" s="16"/>
      <c r="J53" s="16"/>
      <c r="K53" s="16"/>
      <c r="L53" s="16"/>
      <c r="M53" s="16">
        <v>0</v>
      </c>
      <c r="N53" s="16">
        <v>0</v>
      </c>
      <c r="O53" s="16">
        <f>2*0.09</f>
        <v>0.18</v>
      </c>
      <c r="P53" s="16">
        <v>0</v>
      </c>
    </row>
    <row r="54" spans="1:16" ht="13.5" thickBot="1">
      <c r="A54" s="36">
        <v>5</v>
      </c>
      <c r="B54" s="18" t="s">
        <v>67</v>
      </c>
      <c r="C54" s="18"/>
      <c r="D54" s="18"/>
      <c r="E54" s="18"/>
      <c r="F54" s="18">
        <v>0.012</v>
      </c>
      <c r="G54" s="18"/>
      <c r="H54" s="18"/>
      <c r="I54" s="18"/>
      <c r="J54" s="18"/>
      <c r="K54" s="18"/>
      <c r="L54" s="18"/>
      <c r="M54" s="18">
        <v>0</v>
      </c>
      <c r="N54" s="18">
        <v>0</v>
      </c>
      <c r="O54" s="18">
        <v>0.012</v>
      </c>
      <c r="P54" s="18">
        <v>0</v>
      </c>
    </row>
    <row r="55" spans="1:16" s="13" customFormat="1" ht="15.75" thickBot="1">
      <c r="A55" s="37"/>
      <c r="B55" s="27" t="s">
        <v>68</v>
      </c>
      <c r="C55" s="27">
        <f>SUM(C51:C54)</f>
        <v>0.2</v>
      </c>
      <c r="D55" s="27"/>
      <c r="E55" s="27">
        <f>SUM(E50:E54)</f>
        <v>0.61</v>
      </c>
      <c r="F55" s="27">
        <f>SUM(F52:F54)</f>
        <v>0.372</v>
      </c>
      <c r="G55" s="27">
        <f>SUM(G50:G54)</f>
        <v>2</v>
      </c>
      <c r="H55" s="27">
        <f>SUM(H50:H54)</f>
        <v>2</v>
      </c>
      <c r="I55" s="27"/>
      <c r="J55" s="27"/>
      <c r="K55" s="27"/>
      <c r="L55" s="27"/>
      <c r="M55" s="27">
        <f>SUM(M50:M54)</f>
        <v>0.81</v>
      </c>
      <c r="N55" s="27">
        <f>SUM(N50:N54)</f>
        <v>4</v>
      </c>
      <c r="O55" s="27">
        <f>SUM(O50:O54)</f>
        <v>0.372</v>
      </c>
      <c r="P55" s="28">
        <f>SUM(P50:P54)</f>
        <v>0</v>
      </c>
    </row>
    <row r="56" spans="1:16" ht="12.75">
      <c r="A56" s="14">
        <v>1</v>
      </c>
      <c r="B56" s="16" t="s">
        <v>69</v>
      </c>
      <c r="C56" s="16"/>
      <c r="D56" s="16"/>
      <c r="E56" s="16">
        <v>0.028</v>
      </c>
      <c r="F56" s="16"/>
      <c r="G56" s="16"/>
      <c r="H56" s="16"/>
      <c r="I56" s="16"/>
      <c r="J56" s="16"/>
      <c r="K56" s="16"/>
      <c r="L56" s="16"/>
      <c r="M56" s="16">
        <f>C56+E56</f>
        <v>0.028</v>
      </c>
      <c r="N56" s="16">
        <v>0</v>
      </c>
      <c r="O56" s="16">
        <v>0</v>
      </c>
      <c r="P56" s="16">
        <v>0</v>
      </c>
    </row>
    <row r="57" spans="1:16" ht="12.75">
      <c r="A57" s="3">
        <v>2</v>
      </c>
      <c r="B57" s="2" t="s">
        <v>70</v>
      </c>
      <c r="C57" s="2"/>
      <c r="D57" s="2"/>
      <c r="E57" s="2">
        <v>0.4</v>
      </c>
      <c r="F57" s="2"/>
      <c r="G57" s="2"/>
      <c r="H57" s="2"/>
      <c r="I57" s="2"/>
      <c r="J57" s="2"/>
      <c r="K57" s="2"/>
      <c r="L57" s="2"/>
      <c r="M57" s="2">
        <f>C57+E57</f>
        <v>0.4</v>
      </c>
      <c r="N57" s="2">
        <v>0</v>
      </c>
      <c r="O57" s="2">
        <v>0</v>
      </c>
      <c r="P57" s="2">
        <v>0</v>
      </c>
    </row>
    <row r="58" spans="1:16" ht="12.75">
      <c r="A58" s="3">
        <v>3</v>
      </c>
      <c r="B58" s="2" t="s">
        <v>71</v>
      </c>
      <c r="C58" s="2"/>
      <c r="D58" s="2"/>
      <c r="E58" s="2">
        <v>0.4</v>
      </c>
      <c r="F58" s="2"/>
      <c r="G58" s="2"/>
      <c r="H58" s="2"/>
      <c r="I58" s="2"/>
      <c r="J58" s="2"/>
      <c r="K58" s="2"/>
      <c r="L58" s="2"/>
      <c r="M58" s="2">
        <f>C58+E58</f>
        <v>0.4</v>
      </c>
      <c r="N58" s="2">
        <v>0</v>
      </c>
      <c r="O58" s="2">
        <v>0</v>
      </c>
      <c r="P58" s="2">
        <v>0</v>
      </c>
    </row>
    <row r="59" spans="1:16" ht="13.5" thickBot="1">
      <c r="A59" s="9">
        <v>4</v>
      </c>
      <c r="B59" s="11" t="s">
        <v>72</v>
      </c>
      <c r="C59" s="11"/>
      <c r="D59" s="11"/>
      <c r="E59" s="11">
        <v>0.04</v>
      </c>
      <c r="F59" s="11"/>
      <c r="G59" s="11"/>
      <c r="H59" s="11"/>
      <c r="I59" s="11"/>
      <c r="J59" s="11"/>
      <c r="K59" s="11"/>
      <c r="L59" s="11"/>
      <c r="M59" s="11">
        <f>C59+E59</f>
        <v>0.04</v>
      </c>
      <c r="N59" s="11">
        <v>0</v>
      </c>
      <c r="O59" s="11">
        <v>0</v>
      </c>
      <c r="P59" s="11">
        <v>0</v>
      </c>
    </row>
    <row r="60" spans="1:16" s="13" customFormat="1" ht="15.75" thickBot="1">
      <c r="A60" s="37"/>
      <c r="B60" s="27" t="s">
        <v>73</v>
      </c>
      <c r="C60" s="27"/>
      <c r="D60" s="27"/>
      <c r="E60" s="27">
        <f>SUM(E56:E59)</f>
        <v>0.8680000000000001</v>
      </c>
      <c r="F60" s="27"/>
      <c r="G60" s="27"/>
      <c r="H60" s="27"/>
      <c r="I60" s="27"/>
      <c r="J60" s="27"/>
      <c r="K60" s="27"/>
      <c r="L60" s="27"/>
      <c r="M60" s="28">
        <f>SUM(M56:M59)</f>
        <v>0.8680000000000001</v>
      </c>
      <c r="N60" s="25">
        <f>SUM(N56:N59)</f>
        <v>0</v>
      </c>
      <c r="O60" s="28">
        <f>SUM(O56:O59)</f>
        <v>0</v>
      </c>
      <c r="P60" s="39">
        <f>SUM(P56:P59)</f>
        <v>0</v>
      </c>
    </row>
    <row r="61" spans="1:16" ht="12.75">
      <c r="A61" s="14">
        <v>1</v>
      </c>
      <c r="B61" s="16" t="s">
        <v>74</v>
      </c>
      <c r="C61" s="16"/>
      <c r="D61" s="16"/>
      <c r="E61" s="16">
        <v>0.13</v>
      </c>
      <c r="F61" s="16"/>
      <c r="G61" s="16"/>
      <c r="H61" s="16"/>
      <c r="I61" s="16"/>
      <c r="J61" s="16"/>
      <c r="K61" s="16"/>
      <c r="L61" s="16"/>
      <c r="M61" s="16">
        <f>C61+E61</f>
        <v>0.13</v>
      </c>
      <c r="N61" s="16">
        <v>0</v>
      </c>
      <c r="O61" s="16">
        <v>0</v>
      </c>
      <c r="P61" s="16">
        <v>0</v>
      </c>
    </row>
    <row r="62" spans="1:16" ht="12.75">
      <c r="A62" s="3">
        <v>2</v>
      </c>
      <c r="B62" s="2" t="s">
        <v>75</v>
      </c>
      <c r="C62" s="2"/>
      <c r="D62" s="2"/>
      <c r="E62" s="2">
        <v>0.13</v>
      </c>
      <c r="F62" s="2"/>
      <c r="G62" s="2"/>
      <c r="H62" s="2"/>
      <c r="I62" s="2"/>
      <c r="J62" s="2"/>
      <c r="K62" s="2"/>
      <c r="L62" s="2"/>
      <c r="M62" s="2">
        <f>C62+E62</f>
        <v>0.13</v>
      </c>
      <c r="N62" s="2">
        <v>0</v>
      </c>
      <c r="O62" s="2">
        <v>0</v>
      </c>
      <c r="P62" s="2">
        <v>0</v>
      </c>
    </row>
    <row r="63" spans="1:16" ht="12.75">
      <c r="A63" s="3">
        <v>3</v>
      </c>
      <c r="B63" s="2" t="s">
        <v>76</v>
      </c>
      <c r="C63" s="2"/>
      <c r="D63" s="2"/>
      <c r="E63" s="2">
        <v>0.118</v>
      </c>
      <c r="F63" s="2"/>
      <c r="G63" s="2"/>
      <c r="H63" s="2"/>
      <c r="I63" s="2"/>
      <c r="J63" s="2"/>
      <c r="K63" s="2"/>
      <c r="L63" s="2"/>
      <c r="M63" s="2">
        <f>C63+E63</f>
        <v>0.118</v>
      </c>
      <c r="N63" s="2">
        <v>0</v>
      </c>
      <c r="O63" s="2">
        <v>0</v>
      </c>
      <c r="P63" s="2">
        <v>0</v>
      </c>
    </row>
    <row r="64" spans="1:16" ht="13.5" thickBot="1">
      <c r="A64" s="3">
        <v>4</v>
      </c>
      <c r="B64" s="2" t="s">
        <v>77</v>
      </c>
      <c r="C64" s="2"/>
      <c r="D64" s="2"/>
      <c r="E64" s="2">
        <v>0.118</v>
      </c>
      <c r="F64" s="2"/>
      <c r="G64" s="2"/>
      <c r="H64" s="2"/>
      <c r="I64" s="2"/>
      <c r="J64" s="2"/>
      <c r="K64" s="2"/>
      <c r="L64" s="2"/>
      <c r="M64" s="2">
        <f>C64+E64</f>
        <v>0.118</v>
      </c>
      <c r="N64" s="2">
        <v>0</v>
      </c>
      <c r="O64" s="2">
        <v>0</v>
      </c>
      <c r="P64" s="2">
        <v>0</v>
      </c>
    </row>
    <row r="65" spans="1:16" s="13" customFormat="1" ht="15.75" thickBot="1">
      <c r="A65" s="37"/>
      <c r="B65" s="27" t="s">
        <v>78</v>
      </c>
      <c r="C65" s="27"/>
      <c r="D65" s="27"/>
      <c r="E65" s="27">
        <f>SUM(E61:E64)</f>
        <v>0.496</v>
      </c>
      <c r="F65" s="27"/>
      <c r="G65" s="27"/>
      <c r="H65" s="27"/>
      <c r="I65" s="27"/>
      <c r="J65" s="27"/>
      <c r="K65" s="27"/>
      <c r="L65" s="28"/>
      <c r="M65" s="25">
        <f>SUM(M61:M64)</f>
        <v>0.496</v>
      </c>
      <c r="N65" s="27">
        <f>SUM(N61:N64)</f>
        <v>0</v>
      </c>
      <c r="O65" s="27">
        <f>SUM(O61:O64)</f>
        <v>0</v>
      </c>
      <c r="P65" s="28">
        <f>SUM(P61:P64)</f>
        <v>0</v>
      </c>
    </row>
    <row r="66" spans="1:16" s="44" customFormat="1" ht="16.5" thickBot="1">
      <c r="A66" s="40">
        <f>9+9+6+9+4</f>
        <v>37</v>
      </c>
      <c r="B66" s="41" t="s">
        <v>79</v>
      </c>
      <c r="C66" s="42">
        <f>C12+C22+C29+C39+C44+C45+C46+C49+C55+C60+C65</f>
        <v>81.75800000000001</v>
      </c>
      <c r="D66" s="43">
        <f aca="true" t="shared" si="11" ref="D66:N66">D12+D22+D29+D39+D44+D45+D46+D49+D55+D60+D65</f>
        <v>35.882</v>
      </c>
      <c r="E66" s="42">
        <f t="shared" si="11"/>
        <v>39.946000000000005</v>
      </c>
      <c r="F66" s="43">
        <f t="shared" si="11"/>
        <v>4.865</v>
      </c>
      <c r="G66" s="42">
        <f t="shared" si="11"/>
        <v>1215</v>
      </c>
      <c r="H66" s="42">
        <f t="shared" si="11"/>
        <v>220</v>
      </c>
      <c r="I66" s="42">
        <f t="shared" si="11"/>
        <v>4</v>
      </c>
      <c r="J66" s="43">
        <f t="shared" si="11"/>
        <v>133</v>
      </c>
      <c r="K66" s="43">
        <f t="shared" si="11"/>
        <v>382</v>
      </c>
      <c r="L66" s="43">
        <f t="shared" si="11"/>
        <v>6</v>
      </c>
      <c r="M66" s="43">
        <f t="shared" si="11"/>
        <v>120.20899999999999</v>
      </c>
      <c r="N66" s="43">
        <f t="shared" si="11"/>
        <v>1415</v>
      </c>
      <c r="O66" s="43">
        <f>O12+O22+O29+O39+O44+O45+O46+O49+O55+O60+O65</f>
        <v>40.747</v>
      </c>
      <c r="P66" s="43">
        <f>P12+P22+P29+P39+P44+P45+P46+P49+P55+P60+P65</f>
        <v>520</v>
      </c>
    </row>
    <row r="67" spans="2:15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  <c r="N67" s="45"/>
      <c r="O67" s="45"/>
    </row>
    <row r="68" spans="2:15" ht="12.75">
      <c r="B68" s="46" t="s">
        <v>80</v>
      </c>
      <c r="C68" s="45">
        <v>96.506</v>
      </c>
      <c r="D68" s="45"/>
      <c r="E68" s="45">
        <f>E66</f>
        <v>39.946000000000005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2:15" ht="12.75">
      <c r="B69" s="46" t="s">
        <v>81</v>
      </c>
      <c r="C69" s="45">
        <f>C68-C66</f>
        <v>14.74799999999999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</sheetData>
  <sheetProtection/>
  <mergeCells count="5">
    <mergeCell ref="O1:P1"/>
    <mergeCell ref="C1:F1"/>
    <mergeCell ref="G1:I1"/>
    <mergeCell ref="J1:L1"/>
    <mergeCell ref="M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="75" zoomScaleNormal="75" zoomScalePageLayoutView="0" workbookViewId="0" topLeftCell="A25">
      <selection activeCell="N68" sqref="N68"/>
    </sheetView>
  </sheetViews>
  <sheetFormatPr defaultColWidth="9.140625" defaultRowHeight="12.75"/>
  <cols>
    <col min="5" max="5" width="9.8515625" style="0" customWidth="1"/>
  </cols>
  <sheetData>
    <row r="1" spans="1:16" ht="12.75">
      <c r="A1" s="1"/>
      <c r="B1" s="2"/>
      <c r="C1" s="76" t="s">
        <v>0</v>
      </c>
      <c r="D1" s="76"/>
      <c r="E1" s="76"/>
      <c r="F1" s="76"/>
      <c r="G1" s="74" t="s">
        <v>1</v>
      </c>
      <c r="H1" s="77"/>
      <c r="I1" s="75"/>
      <c r="J1" s="74" t="s">
        <v>2</v>
      </c>
      <c r="K1" s="77"/>
      <c r="L1" s="75"/>
      <c r="M1" s="74" t="s">
        <v>3</v>
      </c>
      <c r="N1" s="75"/>
      <c r="O1" s="74" t="s">
        <v>4</v>
      </c>
      <c r="P1" s="75"/>
    </row>
    <row r="2" spans="1:16" ht="25.5">
      <c r="A2" s="2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6" t="s">
        <v>10</v>
      </c>
      <c r="G2" s="5" t="s">
        <v>11</v>
      </c>
      <c r="H2" s="5" t="s">
        <v>12</v>
      </c>
      <c r="I2" s="5" t="s">
        <v>13</v>
      </c>
      <c r="J2" s="5" t="s">
        <v>11</v>
      </c>
      <c r="K2" s="5" t="s">
        <v>12</v>
      </c>
      <c r="L2" s="5" t="s">
        <v>13</v>
      </c>
      <c r="M2" s="7" t="s">
        <v>14</v>
      </c>
      <c r="N2" s="5" t="s">
        <v>15</v>
      </c>
      <c r="O2" s="7" t="s">
        <v>14</v>
      </c>
      <c r="P2" s="5" t="s">
        <v>15</v>
      </c>
    </row>
    <row r="3" spans="1:16" ht="12.75">
      <c r="A3" s="3">
        <v>1</v>
      </c>
      <c r="B3" s="8" t="s">
        <v>16</v>
      </c>
      <c r="C3" s="2">
        <v>0.34</v>
      </c>
      <c r="D3" s="2"/>
      <c r="E3" s="2">
        <v>0.35</v>
      </c>
      <c r="F3" s="2">
        <v>0.07</v>
      </c>
      <c r="G3" s="2">
        <v>6</v>
      </c>
      <c r="H3" s="2"/>
      <c r="I3" s="2"/>
      <c r="J3" s="2"/>
      <c r="K3" s="2"/>
      <c r="L3" s="2"/>
      <c r="M3" s="2">
        <f aca="true" t="shared" si="0" ref="M3:M44">C3+E3</f>
        <v>0.69</v>
      </c>
      <c r="N3" s="2">
        <f aca="true" t="shared" si="1" ref="N3:N43">G3+H3+I3</f>
        <v>6</v>
      </c>
      <c r="O3" s="2">
        <f aca="true" t="shared" si="2" ref="O3:O42">D3+F3</f>
        <v>0.07</v>
      </c>
      <c r="P3" s="2">
        <f aca="true" t="shared" si="3" ref="P3:P42">J3+K3+L3</f>
        <v>0</v>
      </c>
    </row>
    <row r="4" spans="1:16" ht="12.75">
      <c r="A4" s="3">
        <f aca="true" t="shared" si="4" ref="A4:A11">A3+1</f>
        <v>2</v>
      </c>
      <c r="B4" s="8" t="s">
        <v>17</v>
      </c>
      <c r="C4" s="2">
        <v>4.364</v>
      </c>
      <c r="D4" s="2">
        <v>0.135</v>
      </c>
      <c r="E4" s="48">
        <f>0.26*2+0.03</f>
        <v>0.55</v>
      </c>
      <c r="F4" s="2"/>
      <c r="G4" s="2">
        <v>72</v>
      </c>
      <c r="H4" s="2">
        <v>13</v>
      </c>
      <c r="I4" s="2"/>
      <c r="J4" s="2">
        <v>1</v>
      </c>
      <c r="K4" s="2">
        <v>1</v>
      </c>
      <c r="L4" s="2"/>
      <c r="M4" s="2">
        <f t="shared" si="0"/>
        <v>4.914</v>
      </c>
      <c r="N4" s="2">
        <f t="shared" si="1"/>
        <v>85</v>
      </c>
      <c r="O4" s="2">
        <f t="shared" si="2"/>
        <v>0.135</v>
      </c>
      <c r="P4" s="2">
        <f t="shared" si="3"/>
        <v>2</v>
      </c>
    </row>
    <row r="5" spans="1:16" ht="12.75">
      <c r="A5" s="3">
        <f t="shared" si="4"/>
        <v>3</v>
      </c>
      <c r="B5" s="8" t="s">
        <v>18</v>
      </c>
      <c r="C5" s="2">
        <v>1.481</v>
      </c>
      <c r="D5" s="2"/>
      <c r="E5" s="2">
        <f>0.245-0.18</f>
        <v>0.065</v>
      </c>
      <c r="F5" s="2">
        <f>0.08+0.18</f>
        <v>0.26</v>
      </c>
      <c r="G5" s="2">
        <v>3</v>
      </c>
      <c r="H5" s="2">
        <v>27</v>
      </c>
      <c r="I5" s="2"/>
      <c r="J5" s="2"/>
      <c r="K5" s="2"/>
      <c r="L5" s="2"/>
      <c r="M5" s="2">
        <f t="shared" si="0"/>
        <v>1.546</v>
      </c>
      <c r="N5" s="2">
        <f t="shared" si="1"/>
        <v>30</v>
      </c>
      <c r="O5" s="2">
        <f t="shared" si="2"/>
        <v>0.26</v>
      </c>
      <c r="P5" s="2">
        <f t="shared" si="3"/>
        <v>0</v>
      </c>
    </row>
    <row r="6" spans="1:16" ht="12.75">
      <c r="A6" s="3">
        <f t="shared" si="4"/>
        <v>4</v>
      </c>
      <c r="B6" s="8" t="s">
        <v>19</v>
      </c>
      <c r="C6" s="2">
        <v>1.238</v>
      </c>
      <c r="D6" s="2">
        <v>0.12</v>
      </c>
      <c r="E6" s="2"/>
      <c r="F6" s="2">
        <v>0.15</v>
      </c>
      <c r="G6" s="2">
        <v>19</v>
      </c>
      <c r="H6" s="2"/>
      <c r="I6" s="2"/>
      <c r="J6" s="2"/>
      <c r="K6" s="2"/>
      <c r="L6" s="2"/>
      <c r="M6" s="2">
        <f t="shared" si="0"/>
        <v>1.238</v>
      </c>
      <c r="N6" s="2">
        <f t="shared" si="1"/>
        <v>19</v>
      </c>
      <c r="O6" s="2">
        <f t="shared" si="2"/>
        <v>0.27</v>
      </c>
      <c r="P6" s="2">
        <f t="shared" si="3"/>
        <v>0</v>
      </c>
    </row>
    <row r="7" spans="1:16" ht="12.75">
      <c r="A7" s="3">
        <f t="shared" si="4"/>
        <v>5</v>
      </c>
      <c r="B7" s="8" t="s">
        <v>20</v>
      </c>
      <c r="C7" s="2">
        <v>1.545</v>
      </c>
      <c r="D7" s="2"/>
      <c r="E7" s="48">
        <f>0.02+0.16+0.12+0.8</f>
        <v>1.1</v>
      </c>
      <c r="F7" s="2">
        <v>0.15</v>
      </c>
      <c r="G7" s="2">
        <v>10</v>
      </c>
      <c r="H7" s="2">
        <v>1</v>
      </c>
      <c r="I7" s="2"/>
      <c r="J7" s="2"/>
      <c r="K7" s="2"/>
      <c r="L7" s="2"/>
      <c r="M7" s="2">
        <f t="shared" si="0"/>
        <v>2.645</v>
      </c>
      <c r="N7" s="2">
        <f t="shared" si="1"/>
        <v>11</v>
      </c>
      <c r="O7" s="2">
        <f t="shared" si="2"/>
        <v>0.15</v>
      </c>
      <c r="P7" s="2">
        <f t="shared" si="3"/>
        <v>0</v>
      </c>
    </row>
    <row r="8" spans="1:16" ht="12.75">
      <c r="A8" s="3">
        <f t="shared" si="4"/>
        <v>6</v>
      </c>
      <c r="B8" s="8" t="s">
        <v>21</v>
      </c>
      <c r="C8" s="2">
        <v>1.531</v>
      </c>
      <c r="D8" s="2">
        <v>0.06</v>
      </c>
      <c r="E8" s="48">
        <f>0.025+0.1+1+0.05</f>
        <v>1.175</v>
      </c>
      <c r="F8" s="2">
        <v>0.1</v>
      </c>
      <c r="G8" s="2">
        <v>33</v>
      </c>
      <c r="H8" s="2">
        <v>4</v>
      </c>
      <c r="I8" s="2">
        <v>2</v>
      </c>
      <c r="J8" s="2"/>
      <c r="K8" s="2">
        <v>1</v>
      </c>
      <c r="L8" s="2"/>
      <c r="M8" s="2">
        <f t="shared" si="0"/>
        <v>2.706</v>
      </c>
      <c r="N8" s="2">
        <f t="shared" si="1"/>
        <v>39</v>
      </c>
      <c r="O8" s="2">
        <f t="shared" si="2"/>
        <v>0.16</v>
      </c>
      <c r="P8" s="2">
        <f t="shared" si="3"/>
        <v>1</v>
      </c>
    </row>
    <row r="9" spans="1:16" ht="12.75">
      <c r="A9" s="3">
        <f t="shared" si="4"/>
        <v>7</v>
      </c>
      <c r="B9" s="8" t="s">
        <v>22</v>
      </c>
      <c r="C9" s="2">
        <f>2.199+0.133</f>
        <v>2.332</v>
      </c>
      <c r="D9" s="2">
        <v>0.01</v>
      </c>
      <c r="E9" s="2">
        <f>0.055+0.04</f>
        <v>0.095</v>
      </c>
      <c r="F9" s="2">
        <v>0.08</v>
      </c>
      <c r="G9" s="2">
        <f>29+2</f>
        <v>31</v>
      </c>
      <c r="H9" s="2">
        <v>13</v>
      </c>
      <c r="I9" s="2">
        <v>0</v>
      </c>
      <c r="J9" s="2"/>
      <c r="K9" s="2"/>
      <c r="L9" s="2"/>
      <c r="M9" s="2">
        <f t="shared" si="0"/>
        <v>2.427</v>
      </c>
      <c r="N9" s="2">
        <f t="shared" si="1"/>
        <v>44</v>
      </c>
      <c r="O9" s="2">
        <f t="shared" si="2"/>
        <v>0.09</v>
      </c>
      <c r="P9" s="2">
        <f t="shared" si="3"/>
        <v>0</v>
      </c>
    </row>
    <row r="10" spans="1:16" ht="12.75">
      <c r="A10" s="3">
        <f t="shared" si="4"/>
        <v>8</v>
      </c>
      <c r="B10" s="8" t="s">
        <v>23</v>
      </c>
      <c r="C10" s="2">
        <v>1.149</v>
      </c>
      <c r="D10" s="2"/>
      <c r="E10" s="2">
        <v>0.26</v>
      </c>
      <c r="F10" s="2"/>
      <c r="G10" s="2">
        <v>19</v>
      </c>
      <c r="H10" s="2"/>
      <c r="I10" s="2"/>
      <c r="J10" s="2"/>
      <c r="K10" s="2"/>
      <c r="L10" s="2"/>
      <c r="M10" s="2">
        <f t="shared" si="0"/>
        <v>1.409</v>
      </c>
      <c r="N10" s="2">
        <f t="shared" si="1"/>
        <v>19</v>
      </c>
      <c r="O10" s="2">
        <f t="shared" si="2"/>
        <v>0</v>
      </c>
      <c r="P10" s="2">
        <f t="shared" si="3"/>
        <v>0</v>
      </c>
    </row>
    <row r="11" spans="1:16" ht="13.5" thickBot="1">
      <c r="A11" s="9">
        <f t="shared" si="4"/>
        <v>9</v>
      </c>
      <c r="B11" s="10" t="s">
        <v>24</v>
      </c>
      <c r="C11" s="11">
        <v>1.338</v>
      </c>
      <c r="D11" s="11"/>
      <c r="E11" s="11">
        <v>0.26</v>
      </c>
      <c r="F11" s="11">
        <v>0.192</v>
      </c>
      <c r="G11" s="12">
        <v>20</v>
      </c>
      <c r="H11" s="11"/>
      <c r="I11" s="11"/>
      <c r="J11" s="11"/>
      <c r="K11" s="11"/>
      <c r="L11" s="11"/>
      <c r="M11" s="2">
        <f t="shared" si="0"/>
        <v>1.598</v>
      </c>
      <c r="N11" s="11">
        <f t="shared" si="1"/>
        <v>20</v>
      </c>
      <c r="O11" s="11">
        <f t="shared" si="2"/>
        <v>0.192</v>
      </c>
      <c r="P11" s="11">
        <f t="shared" si="3"/>
        <v>0</v>
      </c>
    </row>
    <row r="12" spans="1:16" s="13" customFormat="1" ht="15.75" thickBot="1">
      <c r="A12" s="37"/>
      <c r="B12" s="51" t="s">
        <v>25</v>
      </c>
      <c r="C12" s="52">
        <f aca="true" t="shared" si="5" ref="C12:L12">SUM(C3:C11)</f>
        <v>15.318000000000001</v>
      </c>
      <c r="D12" s="52">
        <f t="shared" si="5"/>
        <v>0.325</v>
      </c>
      <c r="E12" s="52">
        <f t="shared" si="5"/>
        <v>3.8550000000000004</v>
      </c>
      <c r="F12" s="52">
        <f t="shared" si="5"/>
        <v>1.002</v>
      </c>
      <c r="G12" s="52">
        <f t="shared" si="5"/>
        <v>213</v>
      </c>
      <c r="H12" s="52">
        <f t="shared" si="5"/>
        <v>58</v>
      </c>
      <c r="I12" s="52">
        <f t="shared" si="5"/>
        <v>2</v>
      </c>
      <c r="J12" s="52">
        <f t="shared" si="5"/>
        <v>1</v>
      </c>
      <c r="K12" s="52">
        <f t="shared" si="5"/>
        <v>2</v>
      </c>
      <c r="L12" s="52">
        <f t="shared" si="5"/>
        <v>0</v>
      </c>
      <c r="M12" s="27">
        <f t="shared" si="0"/>
        <v>19.173000000000002</v>
      </c>
      <c r="N12" s="27">
        <f t="shared" si="1"/>
        <v>273</v>
      </c>
      <c r="O12" s="27">
        <f t="shared" si="2"/>
        <v>1.327</v>
      </c>
      <c r="P12" s="28">
        <f t="shared" si="3"/>
        <v>3</v>
      </c>
    </row>
    <row r="13" spans="1:16" ht="12.75">
      <c r="A13" s="14">
        <v>1</v>
      </c>
      <c r="B13" s="15" t="s">
        <v>26</v>
      </c>
      <c r="C13" s="16">
        <v>2.964</v>
      </c>
      <c r="D13" s="16">
        <v>0.29</v>
      </c>
      <c r="E13" s="16">
        <f>0.176+0.025+0.413+0.035+0.644+0.2+0.31+0.39+0.25+0.046</f>
        <v>2.489</v>
      </c>
      <c r="F13" s="16">
        <v>0.263</v>
      </c>
      <c r="G13" s="17">
        <v>57</v>
      </c>
      <c r="H13" s="17">
        <v>1</v>
      </c>
      <c r="I13" s="16"/>
      <c r="J13" s="16">
        <v>6</v>
      </c>
      <c r="K13" s="16"/>
      <c r="L13" s="16"/>
      <c r="M13" s="16">
        <f t="shared" si="0"/>
        <v>5.452999999999999</v>
      </c>
      <c r="N13" s="18">
        <f t="shared" si="1"/>
        <v>58</v>
      </c>
      <c r="O13" s="18">
        <f t="shared" si="2"/>
        <v>0.5529999999999999</v>
      </c>
      <c r="P13" s="18">
        <f t="shared" si="3"/>
        <v>6</v>
      </c>
    </row>
    <row r="14" spans="1:16" ht="12.75">
      <c r="A14" s="3">
        <f aca="true" t="shared" si="6" ref="A14:A21">A13+1</f>
        <v>2</v>
      </c>
      <c r="B14" s="8" t="s">
        <v>27</v>
      </c>
      <c r="C14" s="2">
        <v>3.62</v>
      </c>
      <c r="D14" s="2"/>
      <c r="E14" s="2">
        <f>0.03+0.05+0.06+0.009+0.01+0.135+0.04+0.01+0.011+0.32+0.22+0.19+0.215+0.3+0.1+0.18+0.29+0.08+0.12</f>
        <v>2.37</v>
      </c>
      <c r="F14" s="2">
        <v>0.08</v>
      </c>
      <c r="G14" s="2">
        <v>71</v>
      </c>
      <c r="H14" s="2"/>
      <c r="I14" s="2"/>
      <c r="J14" s="2"/>
      <c r="K14" s="2"/>
      <c r="L14" s="2"/>
      <c r="M14" s="2">
        <f t="shared" si="0"/>
        <v>5.99</v>
      </c>
      <c r="N14" s="11">
        <f t="shared" si="1"/>
        <v>71</v>
      </c>
      <c r="O14" s="11">
        <f t="shared" si="2"/>
        <v>0.08</v>
      </c>
      <c r="P14" s="11">
        <f t="shared" si="3"/>
        <v>0</v>
      </c>
    </row>
    <row r="15" spans="1:16" ht="12.75">
      <c r="A15" s="3">
        <f t="shared" si="6"/>
        <v>3</v>
      </c>
      <c r="B15" s="8" t="s">
        <v>28</v>
      </c>
      <c r="C15" s="2">
        <v>2.463</v>
      </c>
      <c r="D15" s="2">
        <v>0.26</v>
      </c>
      <c r="E15" s="2">
        <f>0.29+0.08+0.27+0.14+0.18+0.03+0.009+0.248+0.3+0.22+0.415+0.27+0.16+0.4+0.4+0.15+0.014</f>
        <v>3.5759999999999996</v>
      </c>
      <c r="F15" s="2">
        <v>0.58</v>
      </c>
      <c r="G15" s="2">
        <v>52</v>
      </c>
      <c r="H15" s="2"/>
      <c r="I15" s="2"/>
      <c r="J15" s="2">
        <v>4</v>
      </c>
      <c r="K15" s="2"/>
      <c r="L15" s="2"/>
      <c r="M15" s="2">
        <f t="shared" si="0"/>
        <v>6.039</v>
      </c>
      <c r="N15" s="11">
        <f t="shared" si="1"/>
        <v>52</v>
      </c>
      <c r="O15" s="11">
        <f t="shared" si="2"/>
        <v>0.84</v>
      </c>
      <c r="P15" s="11">
        <f t="shared" si="3"/>
        <v>4</v>
      </c>
    </row>
    <row r="16" spans="1:16" ht="12.75">
      <c r="A16" s="3">
        <f t="shared" si="6"/>
        <v>4</v>
      </c>
      <c r="B16" s="8" t="s">
        <v>29</v>
      </c>
      <c r="C16" s="19">
        <f>3.549+0.25-0.512+0.084+0.11+0.335</f>
        <v>3.816</v>
      </c>
      <c r="D16" s="2">
        <f>0.355-0.25</f>
        <v>0.10499999999999998</v>
      </c>
      <c r="E16" s="47">
        <f>0.31+0.07+0.2+0.02+0.375+0.24+0.135+0.25+0.56+0.31+0.05</f>
        <v>2.52</v>
      </c>
      <c r="F16" s="2">
        <v>0.09</v>
      </c>
      <c r="G16" s="19">
        <f>39-6+2+1+7</f>
        <v>43</v>
      </c>
      <c r="H16" s="19">
        <f>30-1</f>
        <v>29</v>
      </c>
      <c r="I16" s="2">
        <v>1</v>
      </c>
      <c r="J16" s="2">
        <v>1</v>
      </c>
      <c r="K16" s="2">
        <f>6-5</f>
        <v>1</v>
      </c>
      <c r="L16" s="2"/>
      <c r="M16" s="2">
        <f t="shared" si="0"/>
        <v>6.336</v>
      </c>
      <c r="N16" s="11">
        <f t="shared" si="1"/>
        <v>73</v>
      </c>
      <c r="O16" s="11">
        <f t="shared" si="2"/>
        <v>0.19499999999999998</v>
      </c>
      <c r="P16" s="11">
        <f t="shared" si="3"/>
        <v>2</v>
      </c>
    </row>
    <row r="17" spans="1:16" ht="12.75">
      <c r="A17" s="3">
        <f t="shared" si="6"/>
        <v>5</v>
      </c>
      <c r="B17" s="8" t="s">
        <v>30</v>
      </c>
      <c r="C17" s="2">
        <v>2.007</v>
      </c>
      <c r="D17" s="2"/>
      <c r="E17" s="47">
        <f>0.18+0.03+0.145+0.15+0.11+0.51+0.181</f>
        <v>1.306</v>
      </c>
      <c r="F17" s="2">
        <v>0.05</v>
      </c>
      <c r="G17" s="2">
        <v>43</v>
      </c>
      <c r="H17" s="2"/>
      <c r="I17" s="2"/>
      <c r="J17" s="2"/>
      <c r="K17" s="2"/>
      <c r="L17" s="2"/>
      <c r="M17" s="2">
        <f t="shared" si="0"/>
        <v>3.313</v>
      </c>
      <c r="N17" s="11">
        <f t="shared" si="1"/>
        <v>43</v>
      </c>
      <c r="O17" s="11">
        <f t="shared" si="2"/>
        <v>0.05</v>
      </c>
      <c r="P17" s="11">
        <f t="shared" si="3"/>
        <v>0</v>
      </c>
    </row>
    <row r="18" spans="1:16" ht="12.75">
      <c r="A18" s="3">
        <f t="shared" si="6"/>
        <v>6</v>
      </c>
      <c r="B18" s="8" t="s">
        <v>31</v>
      </c>
      <c r="C18" s="2">
        <v>1.912</v>
      </c>
      <c r="D18" s="2"/>
      <c r="E18" s="47">
        <f>0.03</f>
        <v>0.03</v>
      </c>
      <c r="F18" s="2"/>
      <c r="G18" s="2">
        <v>25</v>
      </c>
      <c r="H18" s="2"/>
      <c r="I18" s="2"/>
      <c r="J18" s="2"/>
      <c r="K18" s="2"/>
      <c r="L18" s="2"/>
      <c r="M18" s="2">
        <f t="shared" si="0"/>
        <v>1.942</v>
      </c>
      <c r="N18" s="11">
        <f t="shared" si="1"/>
        <v>25</v>
      </c>
      <c r="O18" s="11">
        <f t="shared" si="2"/>
        <v>0</v>
      </c>
      <c r="P18" s="11">
        <f t="shared" si="3"/>
        <v>0</v>
      </c>
    </row>
    <row r="19" spans="1:16" ht="12.75">
      <c r="A19" s="3">
        <f t="shared" si="6"/>
        <v>7</v>
      </c>
      <c r="B19" s="8" t="s">
        <v>32</v>
      </c>
      <c r="C19" s="2">
        <v>2.232</v>
      </c>
      <c r="D19" s="2"/>
      <c r="E19" s="47">
        <f>0.12+0.23+0.12+0.5+0.155</f>
        <v>1.125</v>
      </c>
      <c r="F19" s="2">
        <v>0.09</v>
      </c>
      <c r="G19" s="2">
        <v>51</v>
      </c>
      <c r="H19" s="2"/>
      <c r="I19" s="2"/>
      <c r="J19" s="2"/>
      <c r="K19" s="2"/>
      <c r="L19" s="2"/>
      <c r="M19" s="2">
        <f t="shared" si="0"/>
        <v>3.357</v>
      </c>
      <c r="N19" s="11">
        <f t="shared" si="1"/>
        <v>51</v>
      </c>
      <c r="O19" s="11">
        <f t="shared" si="2"/>
        <v>0.09</v>
      </c>
      <c r="P19" s="11">
        <f t="shared" si="3"/>
        <v>0</v>
      </c>
    </row>
    <row r="20" spans="1:16" ht="12.75">
      <c r="A20" s="3">
        <f t="shared" si="6"/>
        <v>8</v>
      </c>
      <c r="B20" s="8" t="s">
        <v>33</v>
      </c>
      <c r="C20" s="2"/>
      <c r="D20" s="2"/>
      <c r="E20" s="2">
        <v>1.27</v>
      </c>
      <c r="F20" s="2"/>
      <c r="G20" s="2"/>
      <c r="H20" s="2"/>
      <c r="I20" s="2"/>
      <c r="J20" s="2"/>
      <c r="K20" s="2"/>
      <c r="L20" s="2"/>
      <c r="M20" s="2">
        <f t="shared" si="0"/>
        <v>1.27</v>
      </c>
      <c r="N20" s="11">
        <f t="shared" si="1"/>
        <v>0</v>
      </c>
      <c r="O20" s="11">
        <f t="shared" si="2"/>
        <v>0</v>
      </c>
      <c r="P20" s="11">
        <f t="shared" si="3"/>
        <v>0</v>
      </c>
    </row>
    <row r="21" spans="1:16" ht="13.5" thickBot="1">
      <c r="A21" s="9">
        <f t="shared" si="6"/>
        <v>9</v>
      </c>
      <c r="B21" s="10" t="s">
        <v>34</v>
      </c>
      <c r="C21" s="11"/>
      <c r="D21" s="11"/>
      <c r="E21" s="11">
        <v>1.866</v>
      </c>
      <c r="F21" s="11"/>
      <c r="G21" s="11"/>
      <c r="H21" s="11"/>
      <c r="I21" s="11"/>
      <c r="J21" s="11"/>
      <c r="K21" s="11"/>
      <c r="L21" s="11"/>
      <c r="M21" s="11">
        <f t="shared" si="0"/>
        <v>1.866</v>
      </c>
      <c r="N21" s="11">
        <f t="shared" si="1"/>
        <v>0</v>
      </c>
      <c r="O21" s="11">
        <f t="shared" si="2"/>
        <v>0</v>
      </c>
      <c r="P21" s="11">
        <f t="shared" si="3"/>
        <v>0</v>
      </c>
    </row>
    <row r="22" spans="1:16" s="24" customFormat="1" ht="15.75" thickBot="1">
      <c r="A22" s="20"/>
      <c r="B22" s="21" t="s">
        <v>35</v>
      </c>
      <c r="C22" s="22">
        <f aca="true" t="shared" si="7" ref="C22:L22">SUM(C13:C21)</f>
        <v>19.014</v>
      </c>
      <c r="D22" s="22">
        <f t="shared" si="7"/>
        <v>0.655</v>
      </c>
      <c r="E22" s="50">
        <f t="shared" si="7"/>
        <v>16.552</v>
      </c>
      <c r="F22" s="22">
        <f t="shared" si="7"/>
        <v>1.1530000000000002</v>
      </c>
      <c r="G22" s="22">
        <f t="shared" si="7"/>
        <v>342</v>
      </c>
      <c r="H22" s="22">
        <f t="shared" si="7"/>
        <v>30</v>
      </c>
      <c r="I22" s="22">
        <f t="shared" si="7"/>
        <v>1</v>
      </c>
      <c r="J22" s="22">
        <f t="shared" si="7"/>
        <v>11</v>
      </c>
      <c r="K22" s="22">
        <f t="shared" si="7"/>
        <v>1</v>
      </c>
      <c r="L22" s="22">
        <f t="shared" si="7"/>
        <v>0</v>
      </c>
      <c r="M22" s="22">
        <f t="shared" si="0"/>
        <v>35.566</v>
      </c>
      <c r="N22" s="22">
        <f t="shared" si="1"/>
        <v>373</v>
      </c>
      <c r="O22" s="22">
        <f t="shared" si="2"/>
        <v>1.8080000000000003</v>
      </c>
      <c r="P22" s="23">
        <f t="shared" si="3"/>
        <v>12</v>
      </c>
    </row>
    <row r="23" spans="1:16" ht="12.75">
      <c r="A23" s="14">
        <v>1</v>
      </c>
      <c r="B23" s="15" t="s">
        <v>36</v>
      </c>
      <c r="C23" s="16">
        <v>8.316</v>
      </c>
      <c r="D23" s="16"/>
      <c r="E23" s="49">
        <f>0.1+0.02+0.07</f>
        <v>0.19</v>
      </c>
      <c r="F23" s="16">
        <v>0.15</v>
      </c>
      <c r="G23" s="16">
        <f>96+9+2+1+4</f>
        <v>112</v>
      </c>
      <c r="H23" s="16">
        <f>45-9-2-1-4-1</f>
        <v>28</v>
      </c>
      <c r="I23" s="16"/>
      <c r="J23" s="16"/>
      <c r="K23" s="16"/>
      <c r="L23" s="16"/>
      <c r="M23" s="16">
        <f t="shared" si="0"/>
        <v>8.506</v>
      </c>
      <c r="N23" s="18">
        <f t="shared" si="1"/>
        <v>140</v>
      </c>
      <c r="O23" s="18">
        <f t="shared" si="2"/>
        <v>0.15</v>
      </c>
      <c r="P23" s="18">
        <f t="shared" si="3"/>
        <v>0</v>
      </c>
    </row>
    <row r="24" spans="1:16" ht="12.75">
      <c r="A24" s="3">
        <v>2</v>
      </c>
      <c r="B24" s="8" t="s">
        <v>37</v>
      </c>
      <c r="C24" s="2">
        <v>5.208</v>
      </c>
      <c r="D24" s="2"/>
      <c r="E24" s="47">
        <f>0.1+0.09+0.07+0.15+0.02+0.447</f>
        <v>0.877</v>
      </c>
      <c r="F24" s="2"/>
      <c r="G24" s="2">
        <f>97+4</f>
        <v>101</v>
      </c>
      <c r="H24" s="2">
        <f>3-3</f>
        <v>0</v>
      </c>
      <c r="I24" s="2">
        <f>1-1</f>
        <v>0</v>
      </c>
      <c r="J24" s="2"/>
      <c r="K24" s="2"/>
      <c r="L24" s="2"/>
      <c r="M24" s="2">
        <f t="shared" si="0"/>
        <v>6.085</v>
      </c>
      <c r="N24" s="11">
        <f t="shared" si="1"/>
        <v>101</v>
      </c>
      <c r="O24" s="11">
        <f t="shared" si="2"/>
        <v>0</v>
      </c>
      <c r="P24" s="11">
        <f t="shared" si="3"/>
        <v>0</v>
      </c>
    </row>
    <row r="25" spans="1:16" ht="12.75">
      <c r="A25" s="3">
        <v>3</v>
      </c>
      <c r="B25" s="8" t="s">
        <v>38</v>
      </c>
      <c r="C25" s="2">
        <f>11.951+1</f>
        <v>12.951</v>
      </c>
      <c r="D25" s="2">
        <f>3.618-1</f>
        <v>2.618</v>
      </c>
      <c r="E25" s="47">
        <f>0.08+0.027+0.08+0.25+0.07+0.135</f>
        <v>0.642</v>
      </c>
      <c r="F25" s="2">
        <v>0.1</v>
      </c>
      <c r="G25" s="19">
        <f>130+1+3+5+9+1+1+3+2+4</f>
        <v>159</v>
      </c>
      <c r="H25" s="19">
        <f>71-3-5-9-1-1-3-7+12</f>
        <v>54</v>
      </c>
      <c r="I25" s="2">
        <f>2-2</f>
        <v>0</v>
      </c>
      <c r="J25" s="2"/>
      <c r="K25" s="2">
        <f>72-12</f>
        <v>60</v>
      </c>
      <c r="L25" s="2"/>
      <c r="M25" s="2">
        <f t="shared" si="0"/>
        <v>13.593</v>
      </c>
      <c r="N25" s="11">
        <f t="shared" si="1"/>
        <v>213</v>
      </c>
      <c r="O25" s="11">
        <f t="shared" si="2"/>
        <v>2.718</v>
      </c>
      <c r="P25" s="11">
        <f t="shared" si="3"/>
        <v>60</v>
      </c>
    </row>
    <row r="26" spans="1:16" ht="12.75">
      <c r="A26" s="3">
        <v>4</v>
      </c>
      <c r="B26" s="8" t="s">
        <v>39</v>
      </c>
      <c r="C26" s="2">
        <v>0.534</v>
      </c>
      <c r="D26" s="2">
        <v>0.578</v>
      </c>
      <c r="E26" s="2">
        <v>0.02</v>
      </c>
      <c r="F26" s="2">
        <v>0.22</v>
      </c>
      <c r="G26" s="2">
        <v>11</v>
      </c>
      <c r="H26" s="2"/>
      <c r="I26" s="2"/>
      <c r="J26" s="2">
        <v>10</v>
      </c>
      <c r="K26" s="2">
        <v>2</v>
      </c>
      <c r="L26" s="2"/>
      <c r="M26" s="2">
        <f t="shared" si="0"/>
        <v>0.554</v>
      </c>
      <c r="N26" s="11">
        <f t="shared" si="1"/>
        <v>11</v>
      </c>
      <c r="O26" s="11">
        <f t="shared" si="2"/>
        <v>0.7979999999999999</v>
      </c>
      <c r="P26" s="11">
        <f t="shared" si="3"/>
        <v>12</v>
      </c>
    </row>
    <row r="27" spans="1:16" ht="12.75">
      <c r="A27" s="3">
        <v>5</v>
      </c>
      <c r="B27" s="8" t="s">
        <v>40</v>
      </c>
      <c r="C27" s="2">
        <v>2.3</v>
      </c>
      <c r="D27" s="2">
        <v>15.25</v>
      </c>
      <c r="E27" s="47">
        <f>0.14+0.05+0.009</f>
        <v>0.199</v>
      </c>
      <c r="F27" s="47">
        <f>0.15+0.08+0.03+0.07+0.015+0.02+0.045+0.19+0.03</f>
        <v>0.6300000000000001</v>
      </c>
      <c r="G27" s="2">
        <f>19+10+1+1+4</f>
        <v>35</v>
      </c>
      <c r="H27" s="19">
        <v>6</v>
      </c>
      <c r="I27" s="2">
        <v>1</v>
      </c>
      <c r="J27" s="2">
        <v>79</v>
      </c>
      <c r="K27" s="2">
        <v>138</v>
      </c>
      <c r="L27" s="2"/>
      <c r="M27" s="2">
        <f t="shared" si="0"/>
        <v>2.4989999999999997</v>
      </c>
      <c r="N27" s="11">
        <f t="shared" si="1"/>
        <v>42</v>
      </c>
      <c r="O27" s="11">
        <f t="shared" si="2"/>
        <v>15.88</v>
      </c>
      <c r="P27" s="11">
        <f t="shared" si="3"/>
        <v>217</v>
      </c>
    </row>
    <row r="28" spans="1:16" ht="13.5" thickBot="1">
      <c r="A28" s="9">
        <v>6</v>
      </c>
      <c r="B28" s="10" t="s">
        <v>41</v>
      </c>
      <c r="C28" s="12">
        <f>8.81+0.11</f>
        <v>8.92</v>
      </c>
      <c r="D28" s="11">
        <f>15.416+0.48</f>
        <v>15.896</v>
      </c>
      <c r="E28" s="12">
        <f>0.29+0.035</f>
        <v>0.32499999999999996</v>
      </c>
      <c r="F28" s="11">
        <f>1.215+0.22</f>
        <v>1.435</v>
      </c>
      <c r="G28" s="12">
        <f>68+20+9+2</f>
        <v>99</v>
      </c>
      <c r="H28" s="11">
        <f>42-20</f>
        <v>22</v>
      </c>
      <c r="I28" s="11"/>
      <c r="J28" s="11">
        <f>32-9</f>
        <v>23</v>
      </c>
      <c r="K28" s="11">
        <f>166+10</f>
        <v>176</v>
      </c>
      <c r="L28" s="11">
        <v>5</v>
      </c>
      <c r="M28" s="11">
        <f t="shared" si="0"/>
        <v>9.245</v>
      </c>
      <c r="N28" s="11">
        <f t="shared" si="1"/>
        <v>121</v>
      </c>
      <c r="O28" s="11">
        <f t="shared" si="2"/>
        <v>17.331</v>
      </c>
      <c r="P28" s="11">
        <f t="shared" si="3"/>
        <v>204</v>
      </c>
    </row>
    <row r="29" spans="1:16" s="13" customFormat="1" ht="15.75" thickBot="1">
      <c r="A29" s="25"/>
      <c r="B29" s="26" t="s">
        <v>42</v>
      </c>
      <c r="C29" s="27">
        <f aca="true" t="shared" si="8" ref="C29:L29">SUM(C23:C28)</f>
        <v>38.229</v>
      </c>
      <c r="D29" s="27">
        <f t="shared" si="8"/>
        <v>34.342</v>
      </c>
      <c r="E29" s="53">
        <f t="shared" si="8"/>
        <v>2.253</v>
      </c>
      <c r="F29" s="27">
        <f t="shared" si="8"/>
        <v>2.535</v>
      </c>
      <c r="G29" s="27">
        <f t="shared" si="8"/>
        <v>517</v>
      </c>
      <c r="H29" s="27">
        <f t="shared" si="8"/>
        <v>110</v>
      </c>
      <c r="I29" s="27">
        <f t="shared" si="8"/>
        <v>1</v>
      </c>
      <c r="J29" s="27">
        <f t="shared" si="8"/>
        <v>112</v>
      </c>
      <c r="K29" s="27">
        <f t="shared" si="8"/>
        <v>376</v>
      </c>
      <c r="L29" s="27">
        <f t="shared" si="8"/>
        <v>5</v>
      </c>
      <c r="M29" s="27">
        <f t="shared" si="0"/>
        <v>40.482</v>
      </c>
      <c r="N29" s="27">
        <f t="shared" si="1"/>
        <v>628</v>
      </c>
      <c r="O29" s="27">
        <f t="shared" si="2"/>
        <v>36.876999999999995</v>
      </c>
      <c r="P29" s="28">
        <f t="shared" si="3"/>
        <v>493</v>
      </c>
    </row>
    <row r="30" spans="1:16" ht="12.75">
      <c r="A30" s="14">
        <v>1</v>
      </c>
      <c r="B30" s="15" t="s">
        <v>43</v>
      </c>
      <c r="C30" s="16"/>
      <c r="D30" s="16"/>
      <c r="E30" s="49">
        <f>2.38+0.25+0.3</f>
        <v>2.9299999999999997</v>
      </c>
      <c r="F30" s="16"/>
      <c r="G30" s="16"/>
      <c r="H30" s="16"/>
      <c r="I30" s="16"/>
      <c r="J30" s="16"/>
      <c r="K30" s="16"/>
      <c r="L30" s="16"/>
      <c r="M30" s="18">
        <f t="shared" si="0"/>
        <v>2.9299999999999997</v>
      </c>
      <c r="N30" s="18">
        <f t="shared" si="1"/>
        <v>0</v>
      </c>
      <c r="O30" s="18">
        <f t="shared" si="2"/>
        <v>0</v>
      </c>
      <c r="P30" s="18">
        <f t="shared" si="3"/>
        <v>0</v>
      </c>
    </row>
    <row r="31" spans="1:16" ht="12.75">
      <c r="A31" s="3">
        <v>2</v>
      </c>
      <c r="B31" s="8" t="s">
        <v>44</v>
      </c>
      <c r="C31" s="2"/>
      <c r="D31" s="2"/>
      <c r="E31" s="49">
        <f>2.38+0.25+0.3</f>
        <v>2.9299999999999997</v>
      </c>
      <c r="F31" s="2"/>
      <c r="G31" s="2"/>
      <c r="H31" s="2"/>
      <c r="I31" s="2"/>
      <c r="J31" s="2"/>
      <c r="K31" s="2"/>
      <c r="L31" s="2"/>
      <c r="M31" s="2">
        <f t="shared" si="0"/>
        <v>2.9299999999999997</v>
      </c>
      <c r="N31" s="11">
        <f t="shared" si="1"/>
        <v>0</v>
      </c>
      <c r="O31" s="11">
        <f t="shared" si="2"/>
        <v>0</v>
      </c>
      <c r="P31" s="11">
        <f t="shared" si="3"/>
        <v>0</v>
      </c>
    </row>
    <row r="32" spans="1:16" ht="12.75">
      <c r="A32" s="3">
        <v>3</v>
      </c>
      <c r="B32" s="8" t="s">
        <v>45</v>
      </c>
      <c r="C32" s="2"/>
      <c r="D32" s="2"/>
      <c r="E32" s="2">
        <v>1.235</v>
      </c>
      <c r="F32" s="2"/>
      <c r="G32" s="2"/>
      <c r="H32" s="2"/>
      <c r="I32" s="2"/>
      <c r="J32" s="2"/>
      <c r="K32" s="2"/>
      <c r="L32" s="2"/>
      <c r="M32" s="2">
        <f t="shared" si="0"/>
        <v>1.235</v>
      </c>
      <c r="N32" s="11">
        <f t="shared" si="1"/>
        <v>0</v>
      </c>
      <c r="O32" s="11">
        <f t="shared" si="2"/>
        <v>0</v>
      </c>
      <c r="P32" s="11">
        <f t="shared" si="3"/>
        <v>0</v>
      </c>
    </row>
    <row r="33" spans="1:16" ht="12.75">
      <c r="A33" s="3">
        <v>4</v>
      </c>
      <c r="B33" s="8" t="s">
        <v>46</v>
      </c>
      <c r="C33" s="2"/>
      <c r="D33" s="2"/>
      <c r="E33" s="2">
        <v>1.235</v>
      </c>
      <c r="F33" s="2"/>
      <c r="G33" s="2"/>
      <c r="H33" s="2"/>
      <c r="I33" s="2"/>
      <c r="J33" s="2"/>
      <c r="K33" s="2"/>
      <c r="L33" s="2"/>
      <c r="M33" s="2">
        <f t="shared" si="0"/>
        <v>1.235</v>
      </c>
      <c r="N33" s="11">
        <f t="shared" si="1"/>
        <v>0</v>
      </c>
      <c r="O33" s="11">
        <f t="shared" si="2"/>
        <v>0</v>
      </c>
      <c r="P33" s="11">
        <f t="shared" si="3"/>
        <v>0</v>
      </c>
    </row>
    <row r="34" spans="1:16" ht="12.75">
      <c r="A34" s="3">
        <v>5</v>
      </c>
      <c r="B34" s="8" t="s">
        <v>47</v>
      </c>
      <c r="C34" s="2"/>
      <c r="D34" s="2"/>
      <c r="E34" s="2">
        <v>0.46</v>
      </c>
      <c r="F34" s="2"/>
      <c r="G34" s="2"/>
      <c r="H34" s="2"/>
      <c r="I34" s="2"/>
      <c r="J34" s="2"/>
      <c r="K34" s="2"/>
      <c r="L34" s="2"/>
      <c r="M34" s="2">
        <f t="shared" si="0"/>
        <v>0.46</v>
      </c>
      <c r="N34" s="11">
        <f t="shared" si="1"/>
        <v>0</v>
      </c>
      <c r="O34" s="11">
        <f t="shared" si="2"/>
        <v>0</v>
      </c>
      <c r="P34" s="11">
        <f t="shared" si="3"/>
        <v>0</v>
      </c>
    </row>
    <row r="35" spans="1:16" ht="12.75">
      <c r="A35" s="3">
        <v>6</v>
      </c>
      <c r="B35" s="8" t="s">
        <v>48</v>
      </c>
      <c r="C35" s="2"/>
      <c r="D35" s="2"/>
      <c r="E35" s="47">
        <f>0.95+0.2</f>
        <v>1.15</v>
      </c>
      <c r="F35" s="2"/>
      <c r="G35" s="2"/>
      <c r="H35" s="2"/>
      <c r="I35" s="2"/>
      <c r="J35" s="2"/>
      <c r="K35" s="2"/>
      <c r="L35" s="2"/>
      <c r="M35" s="2">
        <f t="shared" si="0"/>
        <v>1.15</v>
      </c>
      <c r="N35" s="11">
        <f t="shared" si="1"/>
        <v>0</v>
      </c>
      <c r="O35" s="11">
        <f t="shared" si="2"/>
        <v>0</v>
      </c>
      <c r="P35" s="11">
        <f t="shared" si="3"/>
        <v>0</v>
      </c>
    </row>
    <row r="36" spans="1:16" ht="12.75">
      <c r="A36" s="3">
        <v>7</v>
      </c>
      <c r="B36" s="8" t="s">
        <v>49</v>
      </c>
      <c r="C36" s="2">
        <v>3.62</v>
      </c>
      <c r="D36" s="2">
        <v>0.45</v>
      </c>
      <c r="E36" s="47">
        <f>0.075+0.07+0.06+0.3+0.036+0.062+0.438</f>
        <v>1.041</v>
      </c>
      <c r="F36" s="2">
        <v>0.138</v>
      </c>
      <c r="G36" s="2">
        <v>67</v>
      </c>
      <c r="H36" s="2">
        <v>4</v>
      </c>
      <c r="I36" s="2"/>
      <c r="J36" s="2">
        <v>9</v>
      </c>
      <c r="K36" s="2"/>
      <c r="L36" s="2"/>
      <c r="M36" s="2">
        <f t="shared" si="0"/>
        <v>4.661</v>
      </c>
      <c r="N36" s="11">
        <f t="shared" si="1"/>
        <v>71</v>
      </c>
      <c r="O36" s="11">
        <f t="shared" si="2"/>
        <v>0.5880000000000001</v>
      </c>
      <c r="P36" s="11">
        <f t="shared" si="3"/>
        <v>9</v>
      </c>
    </row>
    <row r="37" spans="1:16" ht="12.75">
      <c r="A37" s="3">
        <v>8</v>
      </c>
      <c r="B37" s="8" t="s">
        <v>50</v>
      </c>
      <c r="C37" s="2"/>
      <c r="D37" s="2"/>
      <c r="E37" s="2">
        <v>0.49</v>
      </c>
      <c r="F37" s="2"/>
      <c r="G37" s="2"/>
      <c r="H37" s="2"/>
      <c r="I37" s="2"/>
      <c r="J37" s="2"/>
      <c r="K37" s="2"/>
      <c r="L37" s="2"/>
      <c r="M37" s="2">
        <f t="shared" si="0"/>
        <v>0.49</v>
      </c>
      <c r="N37" s="11">
        <f t="shared" si="1"/>
        <v>0</v>
      </c>
      <c r="O37" s="11">
        <f t="shared" si="2"/>
        <v>0</v>
      </c>
      <c r="P37" s="11">
        <f t="shared" si="3"/>
        <v>0</v>
      </c>
    </row>
    <row r="38" spans="1:16" ht="13.5" thickBot="1">
      <c r="A38" s="9">
        <v>9</v>
      </c>
      <c r="B38" s="10" t="s">
        <v>51</v>
      </c>
      <c r="C38" s="11">
        <v>0.41</v>
      </c>
      <c r="D38" s="11">
        <v>0.11</v>
      </c>
      <c r="E38" s="11">
        <v>1.148</v>
      </c>
      <c r="F38" s="11"/>
      <c r="G38" s="11">
        <v>8</v>
      </c>
      <c r="H38" s="11"/>
      <c r="I38" s="11"/>
      <c r="J38" s="11"/>
      <c r="K38" s="11">
        <v>3</v>
      </c>
      <c r="L38" s="11"/>
      <c r="M38" s="18">
        <f t="shared" si="0"/>
        <v>1.5579999999999998</v>
      </c>
      <c r="N38" s="11">
        <f t="shared" si="1"/>
        <v>8</v>
      </c>
      <c r="O38" s="11">
        <f t="shared" si="2"/>
        <v>0.11</v>
      </c>
      <c r="P38" s="11">
        <f t="shared" si="3"/>
        <v>3</v>
      </c>
    </row>
    <row r="39" spans="1:16" s="13" customFormat="1" ht="15.75" thickBot="1">
      <c r="A39" s="25"/>
      <c r="B39" s="26" t="s">
        <v>52</v>
      </c>
      <c r="C39" s="27">
        <f aca="true" t="shared" si="9" ref="C39:L39">SUM(C30:C38)</f>
        <v>4.03</v>
      </c>
      <c r="D39" s="27">
        <f t="shared" si="9"/>
        <v>0.56</v>
      </c>
      <c r="E39" s="53">
        <f t="shared" si="9"/>
        <v>12.619000000000002</v>
      </c>
      <c r="F39" s="27">
        <f t="shared" si="9"/>
        <v>0.138</v>
      </c>
      <c r="G39" s="27">
        <f t="shared" si="9"/>
        <v>75</v>
      </c>
      <c r="H39" s="27">
        <f t="shared" si="9"/>
        <v>4</v>
      </c>
      <c r="I39" s="27">
        <f t="shared" si="9"/>
        <v>0</v>
      </c>
      <c r="J39" s="27">
        <f t="shared" si="9"/>
        <v>9</v>
      </c>
      <c r="K39" s="27">
        <f t="shared" si="9"/>
        <v>3</v>
      </c>
      <c r="L39" s="27">
        <f t="shared" si="9"/>
        <v>0</v>
      </c>
      <c r="M39" s="27">
        <f t="shared" si="0"/>
        <v>16.649</v>
      </c>
      <c r="N39" s="27">
        <f t="shared" si="1"/>
        <v>79</v>
      </c>
      <c r="O39" s="27">
        <f t="shared" si="2"/>
        <v>0.6980000000000001</v>
      </c>
      <c r="P39" s="28">
        <f t="shared" si="3"/>
        <v>12</v>
      </c>
    </row>
    <row r="40" spans="1:16" ht="12.75">
      <c r="A40" s="14">
        <v>1</v>
      </c>
      <c r="B40" s="15" t="s">
        <v>53</v>
      </c>
      <c r="C40" s="16">
        <v>0.16</v>
      </c>
      <c r="D40" s="16"/>
      <c r="E40" s="49">
        <f>0.1+0.2+0.05+0.06+0.052</f>
        <v>0.462</v>
      </c>
      <c r="F40" s="16"/>
      <c r="G40" s="16">
        <v>3</v>
      </c>
      <c r="H40" s="16"/>
      <c r="I40" s="16"/>
      <c r="J40" s="16"/>
      <c r="K40" s="16"/>
      <c r="L40" s="16"/>
      <c r="M40" s="18">
        <f t="shared" si="0"/>
        <v>0.622</v>
      </c>
      <c r="N40" s="18">
        <f t="shared" si="1"/>
        <v>3</v>
      </c>
      <c r="O40" s="18">
        <f t="shared" si="2"/>
        <v>0</v>
      </c>
      <c r="P40" s="18">
        <f t="shared" si="3"/>
        <v>0</v>
      </c>
    </row>
    <row r="41" spans="1:16" ht="12.75">
      <c r="A41" s="3">
        <v>2</v>
      </c>
      <c r="B41" s="8" t="s">
        <v>54</v>
      </c>
      <c r="C41" s="2">
        <v>0.839</v>
      </c>
      <c r="D41" s="2"/>
      <c r="E41" s="47">
        <f>0.06+0.052</f>
        <v>0.11199999999999999</v>
      </c>
      <c r="F41" s="2"/>
      <c r="G41" s="2">
        <v>17</v>
      </c>
      <c r="H41" s="2"/>
      <c r="I41" s="2"/>
      <c r="J41" s="2"/>
      <c r="K41" s="2"/>
      <c r="L41" s="2"/>
      <c r="M41" s="2">
        <f t="shared" si="0"/>
        <v>0.951</v>
      </c>
      <c r="N41" s="11">
        <f t="shared" si="1"/>
        <v>17</v>
      </c>
      <c r="O41" s="11">
        <f t="shared" si="2"/>
        <v>0</v>
      </c>
      <c r="P41" s="11">
        <f t="shared" si="3"/>
        <v>0</v>
      </c>
    </row>
    <row r="42" spans="1:16" ht="12.75">
      <c r="A42" s="3">
        <v>3</v>
      </c>
      <c r="B42" s="8" t="s">
        <v>55</v>
      </c>
      <c r="C42" s="2">
        <f>2.468+0.1</f>
        <v>2.568</v>
      </c>
      <c r="D42" s="2"/>
      <c r="E42" s="47">
        <f>0.125+0.21+0.065+0.244+0.045+0.545+0.5</f>
        <v>1.734</v>
      </c>
      <c r="F42" s="2"/>
      <c r="G42" s="2">
        <f>32+2</f>
        <v>34</v>
      </c>
      <c r="H42" s="2"/>
      <c r="I42" s="2"/>
      <c r="J42" s="2"/>
      <c r="K42" s="2"/>
      <c r="L42" s="2"/>
      <c r="M42" s="2">
        <f t="shared" si="0"/>
        <v>4.302</v>
      </c>
      <c r="N42" s="11">
        <f t="shared" si="1"/>
        <v>34</v>
      </c>
      <c r="O42" s="11">
        <f t="shared" si="2"/>
        <v>0</v>
      </c>
      <c r="P42" s="11">
        <f t="shared" si="3"/>
        <v>0</v>
      </c>
    </row>
    <row r="43" spans="1:16" ht="13.5" thickBot="1">
      <c r="A43" s="9">
        <v>4</v>
      </c>
      <c r="B43" s="10" t="s">
        <v>56</v>
      </c>
      <c r="C43" s="11">
        <v>0.15</v>
      </c>
      <c r="D43" s="11"/>
      <c r="E43" s="11">
        <f>0.105+0.055</f>
        <v>0.16</v>
      </c>
      <c r="F43" s="11"/>
      <c r="G43" s="11">
        <v>4</v>
      </c>
      <c r="H43" s="11"/>
      <c r="I43" s="11"/>
      <c r="J43" s="11"/>
      <c r="K43" s="11"/>
      <c r="L43" s="11"/>
      <c r="M43" s="18">
        <f t="shared" si="0"/>
        <v>0.31</v>
      </c>
      <c r="N43" s="29">
        <f t="shared" si="1"/>
        <v>4</v>
      </c>
      <c r="O43" s="29"/>
      <c r="P43" s="29"/>
    </row>
    <row r="44" spans="1:16" s="24" customFormat="1" ht="15.75" thickBot="1">
      <c r="A44" s="30"/>
      <c r="B44" s="22" t="s">
        <v>57</v>
      </c>
      <c r="C44" s="22">
        <f aca="true" t="shared" si="10" ref="C44:L44">SUM(C40:C43)</f>
        <v>3.717</v>
      </c>
      <c r="D44" s="22">
        <f t="shared" si="10"/>
        <v>0</v>
      </c>
      <c r="E44" s="50">
        <f t="shared" si="10"/>
        <v>2.468</v>
      </c>
      <c r="F44" s="22">
        <f t="shared" si="10"/>
        <v>0</v>
      </c>
      <c r="G44" s="22">
        <f t="shared" si="10"/>
        <v>58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0"/>
        <v>6.1850000000000005</v>
      </c>
      <c r="N44" s="22">
        <f>SUM(N40:N43)</f>
        <v>58</v>
      </c>
      <c r="O44" s="22">
        <f>SUM(O40:O43)</f>
        <v>0</v>
      </c>
      <c r="P44" s="23">
        <f>SUM(P40:P43)</f>
        <v>0</v>
      </c>
    </row>
    <row r="45" spans="1:16" s="24" customFormat="1" ht="15.75" thickBot="1">
      <c r="A45" s="30"/>
      <c r="B45" s="22" t="s">
        <v>58</v>
      </c>
      <c r="C45" s="22">
        <v>0.85</v>
      </c>
      <c r="D45" s="22"/>
      <c r="E45" s="22">
        <v>0.23</v>
      </c>
      <c r="F45" s="22"/>
      <c r="G45" s="22">
        <v>8</v>
      </c>
      <c r="H45" s="22">
        <v>9</v>
      </c>
      <c r="I45" s="22"/>
      <c r="J45" s="22"/>
      <c r="K45" s="22"/>
      <c r="L45" s="22">
        <v>1</v>
      </c>
      <c r="M45" s="22"/>
      <c r="N45" s="22"/>
      <c r="O45" s="31"/>
      <c r="P45" s="32"/>
    </row>
    <row r="46" spans="1:16" s="24" customFormat="1" ht="15.75" thickBot="1">
      <c r="A46" s="30"/>
      <c r="B46" s="22" t="s">
        <v>59</v>
      </c>
      <c r="C46" s="22">
        <v>0.4</v>
      </c>
      <c r="D46" s="22"/>
      <c r="E46" s="22">
        <v>0.015</v>
      </c>
      <c r="F46" s="22"/>
      <c r="G46" s="22"/>
      <c r="H46" s="22">
        <v>7</v>
      </c>
      <c r="I46" s="22"/>
      <c r="J46" s="22"/>
      <c r="K46" s="22"/>
      <c r="L46" s="22"/>
      <c r="M46" s="22"/>
      <c r="N46" s="33"/>
      <c r="O46" s="34"/>
      <c r="P46" s="35"/>
    </row>
    <row r="47" spans="1:16" ht="12.75">
      <c r="A47" s="14">
        <v>1</v>
      </c>
      <c r="B47" s="16" t="s">
        <v>60</v>
      </c>
      <c r="C47" s="16"/>
      <c r="D47" s="16"/>
      <c r="E47" s="16">
        <v>0.2</v>
      </c>
      <c r="F47" s="16"/>
      <c r="G47" s="16"/>
      <c r="H47" s="16"/>
      <c r="I47" s="16"/>
      <c r="J47" s="16"/>
      <c r="K47" s="16"/>
      <c r="L47" s="16"/>
      <c r="M47" s="16">
        <v>0.2</v>
      </c>
      <c r="N47" s="2">
        <v>0</v>
      </c>
      <c r="O47" s="2">
        <v>0</v>
      </c>
      <c r="P47" s="2">
        <v>0</v>
      </c>
    </row>
    <row r="48" spans="1:16" ht="13.5" thickBot="1">
      <c r="A48" s="36">
        <v>2</v>
      </c>
      <c r="B48" s="18" t="s">
        <v>61</v>
      </c>
      <c r="C48" s="18"/>
      <c r="D48" s="18"/>
      <c r="E48" s="18">
        <v>0.5</v>
      </c>
      <c r="F48" s="18"/>
      <c r="G48" s="18"/>
      <c r="H48" s="18"/>
      <c r="I48" s="18"/>
      <c r="J48" s="18"/>
      <c r="K48" s="18"/>
      <c r="L48" s="18"/>
      <c r="M48" s="18">
        <v>0.5</v>
      </c>
      <c r="N48" s="11">
        <v>0</v>
      </c>
      <c r="O48" s="11">
        <v>0</v>
      </c>
      <c r="P48" s="11">
        <v>0</v>
      </c>
    </row>
    <row r="49" spans="1:16" s="13" customFormat="1" ht="15.75" thickBot="1">
      <c r="A49" s="37"/>
      <c r="B49" s="27" t="s">
        <v>62</v>
      </c>
      <c r="C49" s="27"/>
      <c r="D49" s="27"/>
      <c r="E49" s="27">
        <f>E48+E47</f>
        <v>0.7</v>
      </c>
      <c r="F49" s="27"/>
      <c r="G49" s="27"/>
      <c r="H49" s="27"/>
      <c r="I49" s="27"/>
      <c r="J49" s="27"/>
      <c r="K49" s="27"/>
      <c r="L49" s="27"/>
      <c r="M49" s="27">
        <f>SUM(M47:M48)</f>
        <v>0.7</v>
      </c>
      <c r="N49" s="27">
        <f>SUM(N47:N48)</f>
        <v>0</v>
      </c>
      <c r="O49" s="28">
        <f>SUM(O47:O48)</f>
        <v>0</v>
      </c>
      <c r="P49" s="38">
        <f>SUM(P47:P48)</f>
        <v>0</v>
      </c>
    </row>
    <row r="50" spans="1:16" ht="12.75">
      <c r="A50" s="14">
        <v>1</v>
      </c>
      <c r="B50" s="16" t="s">
        <v>63</v>
      </c>
      <c r="C50" s="16"/>
      <c r="D50" s="16"/>
      <c r="E50" s="49">
        <v>0.165</v>
      </c>
      <c r="F50" s="16"/>
      <c r="G50" s="16"/>
      <c r="H50" s="16"/>
      <c r="I50" s="16"/>
      <c r="J50" s="16"/>
      <c r="K50" s="16"/>
      <c r="L50" s="16"/>
      <c r="M50" s="16">
        <v>0.32</v>
      </c>
      <c r="N50" s="16">
        <v>0</v>
      </c>
      <c r="O50" s="16">
        <v>0</v>
      </c>
      <c r="P50" s="16">
        <v>0</v>
      </c>
    </row>
    <row r="51" spans="1:16" ht="12.75">
      <c r="A51" s="14">
        <v>2</v>
      </c>
      <c r="B51" s="16" t="s">
        <v>64</v>
      </c>
      <c r="C51" s="16">
        <v>0.2</v>
      </c>
      <c r="D51" s="16"/>
      <c r="E51" s="49">
        <v>0.135</v>
      </c>
      <c r="F51" s="16"/>
      <c r="G51" s="16">
        <v>2</v>
      </c>
      <c r="H51" s="16">
        <v>2</v>
      </c>
      <c r="I51" s="16"/>
      <c r="J51" s="16"/>
      <c r="K51" s="16"/>
      <c r="L51" s="16"/>
      <c r="M51" s="16">
        <f>C51+E51</f>
        <v>0.335</v>
      </c>
      <c r="N51" s="16">
        <f>G51+H51</f>
        <v>4</v>
      </c>
      <c r="O51" s="16">
        <v>0</v>
      </c>
      <c r="P51" s="16">
        <v>0</v>
      </c>
    </row>
    <row r="52" spans="1:16" ht="12.75">
      <c r="A52" s="14">
        <v>3</v>
      </c>
      <c r="B52" s="16" t="s">
        <v>65</v>
      </c>
      <c r="C52" s="16"/>
      <c r="D52" s="16"/>
      <c r="E52" s="16"/>
      <c r="F52" s="16">
        <f>2*0.09</f>
        <v>0.18</v>
      </c>
      <c r="G52" s="16"/>
      <c r="H52" s="16"/>
      <c r="I52" s="16"/>
      <c r="J52" s="16"/>
      <c r="K52" s="16"/>
      <c r="L52" s="16"/>
      <c r="M52" s="16">
        <v>0</v>
      </c>
      <c r="N52" s="16">
        <v>0</v>
      </c>
      <c r="O52" s="16">
        <f>2*0.09</f>
        <v>0.18</v>
      </c>
      <c r="P52" s="16">
        <v>0</v>
      </c>
    </row>
    <row r="53" spans="1:16" ht="12.75">
      <c r="A53" s="14">
        <v>4</v>
      </c>
      <c r="B53" s="16" t="s">
        <v>66</v>
      </c>
      <c r="C53" s="16"/>
      <c r="D53" s="16"/>
      <c r="E53" s="16"/>
      <c r="F53" s="16">
        <f>2*0.09</f>
        <v>0.18</v>
      </c>
      <c r="G53" s="16"/>
      <c r="H53" s="16"/>
      <c r="I53" s="16"/>
      <c r="J53" s="16"/>
      <c r="K53" s="16"/>
      <c r="L53" s="16"/>
      <c r="M53" s="16">
        <v>0</v>
      </c>
      <c r="N53" s="16">
        <v>0</v>
      </c>
      <c r="O53" s="16">
        <f>2*0.09</f>
        <v>0.18</v>
      </c>
      <c r="P53" s="16">
        <v>0</v>
      </c>
    </row>
    <row r="54" spans="1:16" ht="13.5" thickBot="1">
      <c r="A54" s="36">
        <v>5</v>
      </c>
      <c r="B54" s="18" t="s">
        <v>67</v>
      </c>
      <c r="C54" s="18"/>
      <c r="D54" s="18"/>
      <c r="E54" s="18"/>
      <c r="F54" s="18">
        <v>0.012</v>
      </c>
      <c r="G54" s="18"/>
      <c r="H54" s="18"/>
      <c r="I54" s="18"/>
      <c r="J54" s="18"/>
      <c r="K54" s="18"/>
      <c r="L54" s="18"/>
      <c r="M54" s="18">
        <v>0</v>
      </c>
      <c r="N54" s="18">
        <v>0</v>
      </c>
      <c r="O54" s="18">
        <v>0.012</v>
      </c>
      <c r="P54" s="18">
        <v>0</v>
      </c>
    </row>
    <row r="55" spans="1:16" s="13" customFormat="1" ht="15.75" thickBot="1">
      <c r="A55" s="37"/>
      <c r="B55" s="27" t="s">
        <v>68</v>
      </c>
      <c r="C55" s="27">
        <f>SUM(C51:C54)</f>
        <v>0.2</v>
      </c>
      <c r="D55" s="27"/>
      <c r="E55" s="53">
        <f>SUM(E50:E54)</f>
        <v>0.30000000000000004</v>
      </c>
      <c r="F55" s="27">
        <f>SUM(F52:F54)</f>
        <v>0.372</v>
      </c>
      <c r="G55" s="27">
        <f>SUM(G50:G54)</f>
        <v>2</v>
      </c>
      <c r="H55" s="27">
        <f>SUM(H50:H54)</f>
        <v>2</v>
      </c>
      <c r="I55" s="27"/>
      <c r="J55" s="27"/>
      <c r="K55" s="27"/>
      <c r="L55" s="27"/>
      <c r="M55" s="27">
        <f>SUM(M50:M54)</f>
        <v>0.655</v>
      </c>
      <c r="N55" s="27">
        <f>SUM(N50:N54)</f>
        <v>4</v>
      </c>
      <c r="O55" s="27">
        <f>SUM(O50:O54)</f>
        <v>0.372</v>
      </c>
      <c r="P55" s="28">
        <f>SUM(P50:P54)</f>
        <v>0</v>
      </c>
    </row>
    <row r="56" spans="1:16" ht="12.75">
      <c r="A56" s="14">
        <v>1</v>
      </c>
      <c r="B56" s="16" t="s">
        <v>69</v>
      </c>
      <c r="C56" s="16"/>
      <c r="D56" s="16"/>
      <c r="E56" s="16">
        <v>0.028</v>
      </c>
      <c r="F56" s="16"/>
      <c r="G56" s="16"/>
      <c r="H56" s="16"/>
      <c r="I56" s="16"/>
      <c r="J56" s="16"/>
      <c r="K56" s="16"/>
      <c r="L56" s="16"/>
      <c r="M56" s="16">
        <f>C56+E56</f>
        <v>0.028</v>
      </c>
      <c r="N56" s="16">
        <v>0</v>
      </c>
      <c r="O56" s="16">
        <v>0</v>
      </c>
      <c r="P56" s="16">
        <v>0</v>
      </c>
    </row>
    <row r="57" spans="1:16" ht="12.75">
      <c r="A57" s="3">
        <v>2</v>
      </c>
      <c r="B57" s="2" t="s">
        <v>70</v>
      </c>
      <c r="C57" s="2"/>
      <c r="D57" s="2"/>
      <c r="E57" s="47">
        <v>0.28</v>
      </c>
      <c r="F57" s="2"/>
      <c r="G57" s="2"/>
      <c r="H57" s="2"/>
      <c r="I57" s="2"/>
      <c r="J57" s="2"/>
      <c r="K57" s="2"/>
      <c r="L57" s="2"/>
      <c r="M57" s="2">
        <f>C57+E57</f>
        <v>0.28</v>
      </c>
      <c r="N57" s="2">
        <v>0</v>
      </c>
      <c r="O57" s="2">
        <v>0</v>
      </c>
      <c r="P57" s="2">
        <v>0</v>
      </c>
    </row>
    <row r="58" spans="1:16" ht="12.75">
      <c r="A58" s="3">
        <v>3</v>
      </c>
      <c r="B58" s="2" t="s">
        <v>71</v>
      </c>
      <c r="C58" s="2"/>
      <c r="D58" s="2"/>
      <c r="E58" s="47">
        <v>0.28</v>
      </c>
      <c r="F58" s="2"/>
      <c r="G58" s="2"/>
      <c r="H58" s="2"/>
      <c r="I58" s="2"/>
      <c r="J58" s="2"/>
      <c r="K58" s="2"/>
      <c r="L58" s="2"/>
      <c r="M58" s="2">
        <f>C58+E58</f>
        <v>0.28</v>
      </c>
      <c r="N58" s="2">
        <v>0</v>
      </c>
      <c r="O58" s="2">
        <v>0</v>
      </c>
      <c r="P58" s="2">
        <v>0</v>
      </c>
    </row>
    <row r="59" spans="1:16" ht="13.5" thickBot="1">
      <c r="A59" s="9">
        <v>4</v>
      </c>
      <c r="B59" s="11" t="s">
        <v>72</v>
      </c>
      <c r="C59" s="11"/>
      <c r="D59" s="11"/>
      <c r="E59" s="11">
        <v>0.04</v>
      </c>
      <c r="F59" s="11"/>
      <c r="G59" s="11"/>
      <c r="H59" s="11"/>
      <c r="I59" s="11"/>
      <c r="J59" s="11"/>
      <c r="K59" s="11"/>
      <c r="L59" s="11"/>
      <c r="M59" s="11">
        <f>C59+E59</f>
        <v>0.04</v>
      </c>
      <c r="N59" s="11">
        <v>0</v>
      </c>
      <c r="O59" s="11">
        <v>0</v>
      </c>
      <c r="P59" s="11">
        <v>0</v>
      </c>
    </row>
    <row r="60" spans="1:16" s="13" customFormat="1" ht="15.75" thickBot="1">
      <c r="A60" s="37"/>
      <c r="B60" s="27" t="s">
        <v>73</v>
      </c>
      <c r="C60" s="27"/>
      <c r="D60" s="27"/>
      <c r="E60" s="53">
        <f>SUM(E56:E59)</f>
        <v>0.6280000000000001</v>
      </c>
      <c r="F60" s="27"/>
      <c r="G60" s="27"/>
      <c r="H60" s="27"/>
      <c r="I60" s="27"/>
      <c r="J60" s="27"/>
      <c r="K60" s="27"/>
      <c r="L60" s="27"/>
      <c r="M60" s="28">
        <f>SUM(M56:M59)</f>
        <v>0.6280000000000001</v>
      </c>
      <c r="N60" s="25">
        <f>SUM(N56:N59)</f>
        <v>0</v>
      </c>
      <c r="O60" s="28">
        <f>SUM(O56:O59)</f>
        <v>0</v>
      </c>
      <c r="P60" s="39">
        <f>SUM(P56:P59)</f>
        <v>0</v>
      </c>
    </row>
    <row r="61" spans="1:16" ht="12.75">
      <c r="A61" s="14">
        <v>1</v>
      </c>
      <c r="B61" s="16" t="s">
        <v>74</v>
      </c>
      <c r="C61" s="16"/>
      <c r="D61" s="16"/>
      <c r="E61" s="16">
        <v>0.13</v>
      </c>
      <c r="F61" s="16"/>
      <c r="G61" s="16"/>
      <c r="H61" s="16"/>
      <c r="I61" s="16"/>
      <c r="J61" s="16"/>
      <c r="K61" s="16"/>
      <c r="L61" s="16"/>
      <c r="M61" s="16">
        <f>C61+E61</f>
        <v>0.13</v>
      </c>
      <c r="N61" s="16">
        <v>0</v>
      </c>
      <c r="O61" s="16">
        <v>0</v>
      </c>
      <c r="P61" s="16">
        <v>0</v>
      </c>
    </row>
    <row r="62" spans="1:16" ht="12.75">
      <c r="A62" s="3">
        <v>2</v>
      </c>
      <c r="B62" s="2" t="s">
        <v>75</v>
      </c>
      <c r="C62" s="2"/>
      <c r="D62" s="2"/>
      <c r="E62" s="2">
        <v>0.13</v>
      </c>
      <c r="F62" s="2"/>
      <c r="G62" s="2"/>
      <c r="H62" s="2"/>
      <c r="I62" s="2"/>
      <c r="J62" s="2"/>
      <c r="K62" s="2"/>
      <c r="L62" s="2"/>
      <c r="M62" s="2">
        <f>C62+E62</f>
        <v>0.13</v>
      </c>
      <c r="N62" s="2">
        <v>0</v>
      </c>
      <c r="O62" s="2">
        <v>0</v>
      </c>
      <c r="P62" s="2">
        <v>0</v>
      </c>
    </row>
    <row r="63" spans="1:16" ht="12.75">
      <c r="A63" s="3">
        <v>3</v>
      </c>
      <c r="B63" s="2" t="s">
        <v>76</v>
      </c>
      <c r="C63" s="2"/>
      <c r="D63" s="2"/>
      <c r="E63" s="2">
        <v>0.118</v>
      </c>
      <c r="F63" s="2"/>
      <c r="G63" s="2"/>
      <c r="H63" s="2"/>
      <c r="I63" s="2"/>
      <c r="J63" s="2"/>
      <c r="K63" s="2"/>
      <c r="L63" s="2"/>
      <c r="M63" s="2">
        <f>C63+E63</f>
        <v>0.118</v>
      </c>
      <c r="N63" s="2">
        <v>0</v>
      </c>
      <c r="O63" s="2">
        <v>0</v>
      </c>
      <c r="P63" s="2">
        <v>0</v>
      </c>
    </row>
    <row r="64" spans="1:16" ht="13.5" thickBot="1">
      <c r="A64" s="3">
        <v>4</v>
      </c>
      <c r="B64" s="2" t="s">
        <v>77</v>
      </c>
      <c r="C64" s="2"/>
      <c r="D64" s="2"/>
      <c r="E64" s="2">
        <v>0.118</v>
      </c>
      <c r="F64" s="2"/>
      <c r="G64" s="2"/>
      <c r="H64" s="2"/>
      <c r="I64" s="2"/>
      <c r="J64" s="2"/>
      <c r="K64" s="2"/>
      <c r="L64" s="2"/>
      <c r="M64" s="2">
        <f>C64+E64</f>
        <v>0.118</v>
      </c>
      <c r="N64" s="2">
        <v>0</v>
      </c>
      <c r="O64" s="2">
        <v>0</v>
      </c>
      <c r="P64" s="2">
        <v>0</v>
      </c>
    </row>
    <row r="65" spans="1:16" s="13" customFormat="1" ht="15.75" thickBot="1">
      <c r="A65" s="37"/>
      <c r="B65" s="27" t="s">
        <v>78</v>
      </c>
      <c r="C65" s="27"/>
      <c r="D65" s="27"/>
      <c r="E65" s="27">
        <f>SUM(E61:E64)</f>
        <v>0.496</v>
      </c>
      <c r="F65" s="27"/>
      <c r="G65" s="27"/>
      <c r="H65" s="27"/>
      <c r="I65" s="27"/>
      <c r="J65" s="27"/>
      <c r="K65" s="27"/>
      <c r="L65" s="28"/>
      <c r="M65" s="25">
        <f>SUM(M61:M64)</f>
        <v>0.496</v>
      </c>
      <c r="N65" s="27">
        <f>SUM(N61:N64)</f>
        <v>0</v>
      </c>
      <c r="O65" s="27">
        <f>SUM(O61:O64)</f>
        <v>0</v>
      </c>
      <c r="P65" s="28">
        <f>SUM(P61:P64)</f>
        <v>0</v>
      </c>
    </row>
    <row r="66" spans="1:16" s="44" customFormat="1" ht="16.5" thickBot="1">
      <c r="A66" s="40">
        <f>9+9+6+9+4</f>
        <v>37</v>
      </c>
      <c r="B66" s="41" t="s">
        <v>79</v>
      </c>
      <c r="C66" s="42">
        <f>C12+C22+C29+C39+C44+C45+C46+C49+C55+C60+C65</f>
        <v>81.75800000000001</v>
      </c>
      <c r="D66" s="43">
        <f aca="true" t="shared" si="11" ref="D66:N66">D12+D22+D29+D39+D44+D45+D46+D49+D55+D60+D65</f>
        <v>35.882</v>
      </c>
      <c r="E66" s="42">
        <f>E12+E22+E29+E39+E44+E45+E46+E49+E55+E60+E65</f>
        <v>40.116</v>
      </c>
      <c r="F66" s="43">
        <f t="shared" si="11"/>
        <v>5.2</v>
      </c>
      <c r="G66" s="42">
        <f t="shared" si="11"/>
        <v>1215</v>
      </c>
      <c r="H66" s="42">
        <f t="shared" si="11"/>
        <v>220</v>
      </c>
      <c r="I66" s="42">
        <f t="shared" si="11"/>
        <v>4</v>
      </c>
      <c r="J66" s="43">
        <f t="shared" si="11"/>
        <v>133</v>
      </c>
      <c r="K66" s="43">
        <f t="shared" si="11"/>
        <v>382</v>
      </c>
      <c r="L66" s="43">
        <f t="shared" si="11"/>
        <v>6</v>
      </c>
      <c r="M66" s="43">
        <f t="shared" si="11"/>
        <v>120.534</v>
      </c>
      <c r="N66" s="43">
        <f t="shared" si="11"/>
        <v>1415</v>
      </c>
      <c r="O66" s="43">
        <f>O12+O22+O29+O39+O44+O45+O46+O49+O55+O60+O65</f>
        <v>41.081999999999994</v>
      </c>
      <c r="P66" s="43">
        <f>P12+P22+P29+P39+P44+P45+P46+P49+P55+P60+P65</f>
        <v>520</v>
      </c>
    </row>
    <row r="67" spans="2:15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  <c r="N67" s="45"/>
      <c r="O67" s="45"/>
    </row>
    <row r="68" spans="2:15" ht="12.75">
      <c r="B68" s="46" t="s">
        <v>85</v>
      </c>
      <c r="C68" s="45">
        <v>96.506</v>
      </c>
      <c r="D68" s="45"/>
      <c r="E68" s="45">
        <f>E66</f>
        <v>40.116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2:15" ht="12.75">
      <c r="B69" s="46" t="s">
        <v>81</v>
      </c>
      <c r="C69" s="45">
        <f>C68-C66</f>
        <v>14.74799999999999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</sheetData>
  <sheetProtection/>
  <mergeCells count="5">
    <mergeCell ref="O1:P1"/>
    <mergeCell ref="C1:F1"/>
    <mergeCell ref="G1:I1"/>
    <mergeCell ref="J1:L1"/>
    <mergeCell ref="M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9"/>
  <sheetViews>
    <sheetView zoomScale="75" zoomScaleNormal="75" zoomScalePageLayoutView="0" workbookViewId="0" topLeftCell="A1">
      <selection activeCell="A1" sqref="A1:IV69"/>
    </sheetView>
  </sheetViews>
  <sheetFormatPr defaultColWidth="9.140625" defaultRowHeight="12.75"/>
  <cols>
    <col min="2" max="2" width="11.57421875" style="0" customWidth="1"/>
    <col min="5" max="5" width="9.7109375" style="0" customWidth="1"/>
  </cols>
  <sheetData>
    <row r="1" spans="1:16" ht="12.75">
      <c r="A1" s="1"/>
      <c r="B1" s="2"/>
      <c r="C1" s="76" t="s">
        <v>0</v>
      </c>
      <c r="D1" s="76"/>
      <c r="E1" s="76"/>
      <c r="F1" s="76"/>
      <c r="G1" s="74" t="s">
        <v>1</v>
      </c>
      <c r="H1" s="77"/>
      <c r="I1" s="75"/>
      <c r="J1" s="74" t="s">
        <v>83</v>
      </c>
      <c r="K1" s="77"/>
      <c r="L1" s="75"/>
      <c r="M1" s="74" t="s">
        <v>3</v>
      </c>
      <c r="N1" s="75"/>
      <c r="O1" s="74" t="s">
        <v>4</v>
      </c>
      <c r="P1" s="75"/>
    </row>
    <row r="2" spans="1:16" ht="25.5">
      <c r="A2" s="2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6" t="s">
        <v>10</v>
      </c>
      <c r="G2" s="5" t="s">
        <v>11</v>
      </c>
      <c r="H2" s="5" t="s">
        <v>12</v>
      </c>
      <c r="I2" s="5" t="s">
        <v>13</v>
      </c>
      <c r="J2" s="5" t="s">
        <v>11</v>
      </c>
      <c r="K2" s="5" t="s">
        <v>12</v>
      </c>
      <c r="L2" s="5" t="s">
        <v>13</v>
      </c>
      <c r="M2" s="7" t="s">
        <v>14</v>
      </c>
      <c r="N2" s="5" t="s">
        <v>15</v>
      </c>
      <c r="O2" s="7" t="s">
        <v>14</v>
      </c>
      <c r="P2" s="5" t="s">
        <v>15</v>
      </c>
    </row>
    <row r="3" spans="1:16" ht="12.75">
      <c r="A3" s="3">
        <v>1</v>
      </c>
      <c r="B3" s="8" t="s">
        <v>16</v>
      </c>
      <c r="C3" s="2">
        <v>0.34</v>
      </c>
      <c r="D3" s="2"/>
      <c r="E3" s="2">
        <v>0.35</v>
      </c>
      <c r="F3" s="2">
        <v>0.07</v>
      </c>
      <c r="G3" s="2">
        <v>6</v>
      </c>
      <c r="H3" s="2"/>
      <c r="I3" s="2"/>
      <c r="J3" s="2"/>
      <c r="K3" s="2"/>
      <c r="L3" s="2"/>
      <c r="M3" s="2">
        <f aca="true" t="shared" si="0" ref="M3:M44">C3+E3</f>
        <v>0.69</v>
      </c>
      <c r="N3" s="2">
        <f aca="true" t="shared" si="1" ref="N3:N43">G3+H3+I3</f>
        <v>6</v>
      </c>
      <c r="O3" s="2">
        <f aca="true" t="shared" si="2" ref="O3:O42">D3+F3</f>
        <v>0.07</v>
      </c>
      <c r="P3" s="2">
        <f aca="true" t="shared" si="3" ref="P3:P42">J3+K3+L3</f>
        <v>0</v>
      </c>
    </row>
    <row r="4" spans="1:16" ht="12.75">
      <c r="A4" s="3">
        <f aca="true" t="shared" si="4" ref="A4:A11">A3+1</f>
        <v>2</v>
      </c>
      <c r="B4" s="8" t="s">
        <v>17</v>
      </c>
      <c r="C4" s="2">
        <v>4.364</v>
      </c>
      <c r="D4" s="2">
        <v>0.135</v>
      </c>
      <c r="E4" s="48">
        <f>0.26*2+0.03</f>
        <v>0.55</v>
      </c>
      <c r="F4" s="2"/>
      <c r="G4" s="2">
        <v>72</v>
      </c>
      <c r="H4" s="2">
        <v>13</v>
      </c>
      <c r="I4" s="2"/>
      <c r="J4" s="2">
        <v>1</v>
      </c>
      <c r="K4" s="2">
        <v>1</v>
      </c>
      <c r="L4" s="2"/>
      <c r="M4" s="2">
        <f t="shared" si="0"/>
        <v>4.914</v>
      </c>
      <c r="N4" s="2">
        <f t="shared" si="1"/>
        <v>85</v>
      </c>
      <c r="O4" s="2">
        <f t="shared" si="2"/>
        <v>0.135</v>
      </c>
      <c r="P4" s="2">
        <f t="shared" si="3"/>
        <v>2</v>
      </c>
    </row>
    <row r="5" spans="1:16" ht="12.75">
      <c r="A5" s="3">
        <f t="shared" si="4"/>
        <v>3</v>
      </c>
      <c r="B5" s="8" t="s">
        <v>18</v>
      </c>
      <c r="C5" s="2">
        <v>1.481</v>
      </c>
      <c r="D5" s="2"/>
      <c r="E5" s="2">
        <f>0.245-0.18</f>
        <v>0.065</v>
      </c>
      <c r="F5" s="2">
        <f>0.08+0.18</f>
        <v>0.26</v>
      </c>
      <c r="G5" s="2">
        <v>3</v>
      </c>
      <c r="H5" s="2">
        <v>27</v>
      </c>
      <c r="I5" s="2"/>
      <c r="J5" s="2"/>
      <c r="K5" s="2"/>
      <c r="L5" s="2"/>
      <c r="M5" s="2">
        <f t="shared" si="0"/>
        <v>1.546</v>
      </c>
      <c r="N5" s="2">
        <f t="shared" si="1"/>
        <v>30</v>
      </c>
      <c r="O5" s="2">
        <f t="shared" si="2"/>
        <v>0.26</v>
      </c>
      <c r="P5" s="2">
        <f t="shared" si="3"/>
        <v>0</v>
      </c>
    </row>
    <row r="6" spans="1:16" ht="12.75">
      <c r="A6" s="3">
        <f t="shared" si="4"/>
        <v>4</v>
      </c>
      <c r="B6" s="8" t="s">
        <v>19</v>
      </c>
      <c r="C6" s="2">
        <v>1.238</v>
      </c>
      <c r="D6" s="2">
        <v>0.12</v>
      </c>
      <c r="E6" s="2"/>
      <c r="F6" s="2">
        <v>0.15</v>
      </c>
      <c r="G6" s="2">
        <v>19</v>
      </c>
      <c r="H6" s="2"/>
      <c r="I6" s="2"/>
      <c r="J6" s="2"/>
      <c r="K6" s="2"/>
      <c r="L6" s="2"/>
      <c r="M6" s="2">
        <f t="shared" si="0"/>
        <v>1.238</v>
      </c>
      <c r="N6" s="2">
        <f t="shared" si="1"/>
        <v>19</v>
      </c>
      <c r="O6" s="2">
        <f t="shared" si="2"/>
        <v>0.27</v>
      </c>
      <c r="P6" s="2">
        <f t="shared" si="3"/>
        <v>0</v>
      </c>
    </row>
    <row r="7" spans="1:16" ht="12.75">
      <c r="A7" s="3">
        <f t="shared" si="4"/>
        <v>5</v>
      </c>
      <c r="B7" s="8" t="s">
        <v>20</v>
      </c>
      <c r="C7" s="2">
        <v>1.545</v>
      </c>
      <c r="D7" s="2"/>
      <c r="E7" s="48">
        <f>0.02+0.16+0.12+0.8</f>
        <v>1.1</v>
      </c>
      <c r="F7" s="2">
        <v>0.15</v>
      </c>
      <c r="G7" s="2">
        <v>10</v>
      </c>
      <c r="H7" s="2">
        <v>1</v>
      </c>
      <c r="I7" s="2"/>
      <c r="J7" s="2"/>
      <c r="K7" s="2"/>
      <c r="L7" s="2"/>
      <c r="M7" s="2">
        <f t="shared" si="0"/>
        <v>2.645</v>
      </c>
      <c r="N7" s="2">
        <f t="shared" si="1"/>
        <v>11</v>
      </c>
      <c r="O7" s="2">
        <f t="shared" si="2"/>
        <v>0.15</v>
      </c>
      <c r="P7" s="2">
        <f t="shared" si="3"/>
        <v>0</v>
      </c>
    </row>
    <row r="8" spans="1:16" ht="12.75">
      <c r="A8" s="3">
        <f t="shared" si="4"/>
        <v>6</v>
      </c>
      <c r="B8" s="8" t="s">
        <v>21</v>
      </c>
      <c r="C8" s="2">
        <v>1.531</v>
      </c>
      <c r="D8" s="2">
        <v>0.06</v>
      </c>
      <c r="E8" s="48">
        <f>0.025+0.1+1+0.05</f>
        <v>1.175</v>
      </c>
      <c r="F8" s="2">
        <v>0.1</v>
      </c>
      <c r="G8" s="2">
        <v>33</v>
      </c>
      <c r="H8" s="2">
        <v>4</v>
      </c>
      <c r="I8" s="2">
        <v>2</v>
      </c>
      <c r="J8" s="2"/>
      <c r="K8" s="2">
        <v>1</v>
      </c>
      <c r="L8" s="2"/>
      <c r="M8" s="2">
        <f t="shared" si="0"/>
        <v>2.706</v>
      </c>
      <c r="N8" s="2">
        <f t="shared" si="1"/>
        <v>39</v>
      </c>
      <c r="O8" s="2">
        <f t="shared" si="2"/>
        <v>0.16</v>
      </c>
      <c r="P8" s="2">
        <f t="shared" si="3"/>
        <v>1</v>
      </c>
    </row>
    <row r="9" spans="1:16" ht="12.75">
      <c r="A9" s="3">
        <f t="shared" si="4"/>
        <v>7</v>
      </c>
      <c r="B9" s="8" t="s">
        <v>22</v>
      </c>
      <c r="C9" s="2">
        <f>2.199+0.133</f>
        <v>2.332</v>
      </c>
      <c r="D9" s="2">
        <v>0.01</v>
      </c>
      <c r="E9" s="2">
        <f>0.055+0.04</f>
        <v>0.095</v>
      </c>
      <c r="F9" s="2">
        <v>0.08</v>
      </c>
      <c r="G9" s="2">
        <f>29+2</f>
        <v>31</v>
      </c>
      <c r="H9" s="2">
        <v>13</v>
      </c>
      <c r="I9" s="2">
        <v>0</v>
      </c>
      <c r="J9" s="2"/>
      <c r="K9" s="2"/>
      <c r="L9" s="2"/>
      <c r="M9" s="2">
        <f t="shared" si="0"/>
        <v>2.427</v>
      </c>
      <c r="N9" s="2">
        <f t="shared" si="1"/>
        <v>44</v>
      </c>
      <c r="O9" s="2">
        <f t="shared" si="2"/>
        <v>0.09</v>
      </c>
      <c r="P9" s="2">
        <f t="shared" si="3"/>
        <v>0</v>
      </c>
    </row>
    <row r="10" spans="1:16" ht="12.75">
      <c r="A10" s="3">
        <f t="shared" si="4"/>
        <v>8</v>
      </c>
      <c r="B10" s="8" t="s">
        <v>23</v>
      </c>
      <c r="C10" s="2">
        <v>1.149</v>
      </c>
      <c r="D10" s="2"/>
      <c r="E10" s="2">
        <v>0.26</v>
      </c>
      <c r="F10" s="2"/>
      <c r="G10" s="2">
        <v>19</v>
      </c>
      <c r="H10" s="2"/>
      <c r="I10" s="2"/>
      <c r="J10" s="2"/>
      <c r="K10" s="2"/>
      <c r="L10" s="2"/>
      <c r="M10" s="2">
        <f t="shared" si="0"/>
        <v>1.409</v>
      </c>
      <c r="N10" s="2">
        <f t="shared" si="1"/>
        <v>19</v>
      </c>
      <c r="O10" s="2">
        <f t="shared" si="2"/>
        <v>0</v>
      </c>
      <c r="P10" s="2">
        <f t="shared" si="3"/>
        <v>0</v>
      </c>
    </row>
    <row r="11" spans="1:16" ht="13.5" thickBot="1">
      <c r="A11" s="9">
        <f t="shared" si="4"/>
        <v>9</v>
      </c>
      <c r="B11" s="10" t="s">
        <v>24</v>
      </c>
      <c r="C11" s="11">
        <v>1.338</v>
      </c>
      <c r="D11" s="11"/>
      <c r="E11" s="11">
        <v>0.26</v>
      </c>
      <c r="F11" s="11">
        <v>0.192</v>
      </c>
      <c r="G11" s="12">
        <v>20</v>
      </c>
      <c r="H11" s="11"/>
      <c r="I11" s="11"/>
      <c r="J11" s="11"/>
      <c r="K11" s="11"/>
      <c r="L11" s="11"/>
      <c r="M11" s="2">
        <f t="shared" si="0"/>
        <v>1.598</v>
      </c>
      <c r="N11" s="11">
        <f t="shared" si="1"/>
        <v>20</v>
      </c>
      <c r="O11" s="11">
        <f t="shared" si="2"/>
        <v>0.192</v>
      </c>
      <c r="P11" s="11">
        <f t="shared" si="3"/>
        <v>0</v>
      </c>
    </row>
    <row r="12" spans="1:16" s="13" customFormat="1" ht="15.75" thickBot="1">
      <c r="A12" s="37"/>
      <c r="B12" s="51" t="s">
        <v>25</v>
      </c>
      <c r="C12" s="52">
        <f aca="true" t="shared" si="5" ref="C12:L12">SUM(C3:C11)</f>
        <v>15.318000000000001</v>
      </c>
      <c r="D12" s="52">
        <f t="shared" si="5"/>
        <v>0.325</v>
      </c>
      <c r="E12" s="52">
        <f t="shared" si="5"/>
        <v>3.8550000000000004</v>
      </c>
      <c r="F12" s="52">
        <f t="shared" si="5"/>
        <v>1.002</v>
      </c>
      <c r="G12" s="52">
        <f t="shared" si="5"/>
        <v>213</v>
      </c>
      <c r="H12" s="52">
        <f t="shared" si="5"/>
        <v>58</v>
      </c>
      <c r="I12" s="52">
        <f t="shared" si="5"/>
        <v>2</v>
      </c>
      <c r="J12" s="52">
        <f t="shared" si="5"/>
        <v>1</v>
      </c>
      <c r="K12" s="52">
        <f t="shared" si="5"/>
        <v>2</v>
      </c>
      <c r="L12" s="52">
        <f t="shared" si="5"/>
        <v>0</v>
      </c>
      <c r="M12" s="27">
        <f t="shared" si="0"/>
        <v>19.173000000000002</v>
      </c>
      <c r="N12" s="27">
        <f t="shared" si="1"/>
        <v>273</v>
      </c>
      <c r="O12" s="27">
        <f t="shared" si="2"/>
        <v>1.327</v>
      </c>
      <c r="P12" s="28">
        <f t="shared" si="3"/>
        <v>3</v>
      </c>
    </row>
    <row r="13" spans="1:16" ht="12.75">
      <c r="A13" s="14">
        <v>1</v>
      </c>
      <c r="B13" s="15" t="s">
        <v>26</v>
      </c>
      <c r="C13" s="16">
        <v>2.964</v>
      </c>
      <c r="D13" s="16">
        <v>0.29</v>
      </c>
      <c r="E13" s="16">
        <f>0.176+0.05+0.025+0.413+0.035+0.238+0.2+0.31+0.25+0.046+0.24+0.135</f>
        <v>2.1180000000000003</v>
      </c>
      <c r="F13" s="16">
        <v>0.263</v>
      </c>
      <c r="G13" s="17">
        <v>57</v>
      </c>
      <c r="H13" s="17">
        <v>1</v>
      </c>
      <c r="I13" s="16"/>
      <c r="J13" s="16">
        <v>6</v>
      </c>
      <c r="K13" s="16"/>
      <c r="L13" s="16"/>
      <c r="M13" s="16">
        <f t="shared" si="0"/>
        <v>5.082000000000001</v>
      </c>
      <c r="N13" s="18">
        <f t="shared" si="1"/>
        <v>58</v>
      </c>
      <c r="O13" s="18">
        <f t="shared" si="2"/>
        <v>0.5529999999999999</v>
      </c>
      <c r="P13" s="18">
        <f t="shared" si="3"/>
        <v>6</v>
      </c>
    </row>
    <row r="14" spans="1:16" ht="12.75">
      <c r="A14" s="3">
        <f aca="true" t="shared" si="6" ref="A14:A21">A13+1</f>
        <v>2</v>
      </c>
      <c r="B14" s="8" t="s">
        <v>27</v>
      </c>
      <c r="C14" s="2">
        <v>3.62</v>
      </c>
      <c r="D14" s="2"/>
      <c r="E14" s="2">
        <f>0.03+0.05+0.06+0.009+0.01+0.135+0.04+0.01+0.011+0.32+0.22+0.19+0.215+0.3+0.1+0.18+0.29+0.08+0.12</f>
        <v>2.37</v>
      </c>
      <c r="F14" s="2">
        <v>0.08</v>
      </c>
      <c r="G14" s="2">
        <v>71</v>
      </c>
      <c r="H14" s="2"/>
      <c r="I14" s="2"/>
      <c r="J14" s="2"/>
      <c r="K14" s="2"/>
      <c r="L14" s="2"/>
      <c r="M14" s="2">
        <f t="shared" si="0"/>
        <v>5.99</v>
      </c>
      <c r="N14" s="11">
        <f t="shared" si="1"/>
        <v>71</v>
      </c>
      <c r="O14" s="11">
        <f t="shared" si="2"/>
        <v>0.08</v>
      </c>
      <c r="P14" s="11">
        <f t="shared" si="3"/>
        <v>0</v>
      </c>
    </row>
    <row r="15" spans="1:16" ht="12.75">
      <c r="A15" s="3">
        <f t="shared" si="6"/>
        <v>3</v>
      </c>
      <c r="B15" s="8" t="s">
        <v>28</v>
      </c>
      <c r="C15" s="2">
        <v>2.463</v>
      </c>
      <c r="D15" s="2">
        <v>0.26</v>
      </c>
      <c r="E15" s="2">
        <f>0.29+0.08+0.27+0.14+0.18+0.03+0.009+0.248+0.3+0.22+0.415+0.27+0.16+0.4+0.4+0.15+0.014</f>
        <v>3.5759999999999996</v>
      </c>
      <c r="F15" s="2">
        <v>0.58</v>
      </c>
      <c r="G15" s="2">
        <v>52</v>
      </c>
      <c r="H15" s="2"/>
      <c r="I15" s="2"/>
      <c r="J15" s="2">
        <v>4</v>
      </c>
      <c r="K15" s="2"/>
      <c r="L15" s="2"/>
      <c r="M15" s="2">
        <f t="shared" si="0"/>
        <v>6.039</v>
      </c>
      <c r="N15" s="11">
        <f t="shared" si="1"/>
        <v>52</v>
      </c>
      <c r="O15" s="11">
        <f t="shared" si="2"/>
        <v>0.84</v>
      </c>
      <c r="P15" s="11">
        <f t="shared" si="3"/>
        <v>4</v>
      </c>
    </row>
    <row r="16" spans="1:16" ht="12.75">
      <c r="A16" s="3">
        <f t="shared" si="6"/>
        <v>4</v>
      </c>
      <c r="B16" s="8" t="s">
        <v>29</v>
      </c>
      <c r="C16" s="19">
        <f>3.549+0.25-0.512+0.084+0.11+0.335</f>
        <v>3.816</v>
      </c>
      <c r="D16" s="2">
        <f>0.355-0.25</f>
        <v>0.10499999999999998</v>
      </c>
      <c r="E16" s="47">
        <f>0.406+0.31+0.07+0.2+0.02+0.375+0.25+0.56+0.39+0.31+0.05</f>
        <v>2.941</v>
      </c>
      <c r="F16" s="2">
        <v>0.09</v>
      </c>
      <c r="G16" s="19">
        <f>39-6+2+1+7</f>
        <v>43</v>
      </c>
      <c r="H16" s="19">
        <f>30-1</f>
        <v>29</v>
      </c>
      <c r="I16" s="2">
        <v>1</v>
      </c>
      <c r="J16" s="2">
        <v>1</v>
      </c>
      <c r="K16" s="2">
        <f>6-5</f>
        <v>1</v>
      </c>
      <c r="L16" s="2"/>
      <c r="M16" s="2">
        <f t="shared" si="0"/>
        <v>6.757</v>
      </c>
      <c r="N16" s="11">
        <f t="shared" si="1"/>
        <v>73</v>
      </c>
      <c r="O16" s="11">
        <f t="shared" si="2"/>
        <v>0.19499999999999998</v>
      </c>
      <c r="P16" s="11">
        <f t="shared" si="3"/>
        <v>2</v>
      </c>
    </row>
    <row r="17" spans="1:16" ht="12.75">
      <c r="A17" s="3">
        <f t="shared" si="6"/>
        <v>5</v>
      </c>
      <c r="B17" s="8" t="s">
        <v>30</v>
      </c>
      <c r="C17" s="2">
        <v>2.007</v>
      </c>
      <c r="D17" s="2"/>
      <c r="E17" s="47">
        <f>0.18+0.03+0.03+0.145+0.15+0.11+0.51+0.181</f>
        <v>1.336</v>
      </c>
      <c r="F17" s="2">
        <v>0.05</v>
      </c>
      <c r="G17" s="2">
        <v>43</v>
      </c>
      <c r="H17" s="2"/>
      <c r="I17" s="2"/>
      <c r="J17" s="2"/>
      <c r="K17" s="2"/>
      <c r="L17" s="2"/>
      <c r="M17" s="2">
        <f t="shared" si="0"/>
        <v>3.343</v>
      </c>
      <c r="N17" s="11">
        <f t="shared" si="1"/>
        <v>43</v>
      </c>
      <c r="O17" s="11">
        <f t="shared" si="2"/>
        <v>0.05</v>
      </c>
      <c r="P17" s="11">
        <f t="shared" si="3"/>
        <v>0</v>
      </c>
    </row>
    <row r="18" spans="1:16" ht="12.75">
      <c r="A18" s="3">
        <f t="shared" si="6"/>
        <v>6</v>
      </c>
      <c r="B18" s="8" t="s">
        <v>31</v>
      </c>
      <c r="C18" s="2">
        <v>1.912</v>
      </c>
      <c r="D18" s="2"/>
      <c r="E18" s="47">
        <f>0.03</f>
        <v>0.03</v>
      </c>
      <c r="F18" s="2"/>
      <c r="G18" s="2">
        <v>25</v>
      </c>
      <c r="H18" s="2"/>
      <c r="I18" s="2"/>
      <c r="J18" s="2"/>
      <c r="K18" s="2"/>
      <c r="L18" s="2"/>
      <c r="M18" s="2">
        <f t="shared" si="0"/>
        <v>1.942</v>
      </c>
      <c r="N18" s="11">
        <f t="shared" si="1"/>
        <v>25</v>
      </c>
      <c r="O18" s="11">
        <f t="shared" si="2"/>
        <v>0</v>
      </c>
      <c r="P18" s="11">
        <f t="shared" si="3"/>
        <v>0</v>
      </c>
    </row>
    <row r="19" spans="1:16" ht="12.75">
      <c r="A19" s="3">
        <f t="shared" si="6"/>
        <v>7</v>
      </c>
      <c r="B19" s="8" t="s">
        <v>32</v>
      </c>
      <c r="C19" s="2">
        <v>2.232</v>
      </c>
      <c r="D19" s="2"/>
      <c r="E19" s="47">
        <f>0.12+0.23+0.12+0.5+0.155</f>
        <v>1.125</v>
      </c>
      <c r="F19" s="2">
        <v>0.09</v>
      </c>
      <c r="G19" s="2">
        <v>51</v>
      </c>
      <c r="H19" s="2"/>
      <c r="I19" s="2"/>
      <c r="J19" s="2"/>
      <c r="K19" s="2"/>
      <c r="L19" s="2"/>
      <c r="M19" s="2">
        <f t="shared" si="0"/>
        <v>3.357</v>
      </c>
      <c r="N19" s="11">
        <f t="shared" si="1"/>
        <v>51</v>
      </c>
      <c r="O19" s="11">
        <f t="shared" si="2"/>
        <v>0.09</v>
      </c>
      <c r="P19" s="11">
        <f t="shared" si="3"/>
        <v>0</v>
      </c>
    </row>
    <row r="20" spans="1:16" ht="12.75">
      <c r="A20" s="3">
        <f t="shared" si="6"/>
        <v>8</v>
      </c>
      <c r="B20" s="8" t="s">
        <v>33</v>
      </c>
      <c r="C20" s="2"/>
      <c r="D20" s="2"/>
      <c r="E20" s="2">
        <v>1.27</v>
      </c>
      <c r="F20" s="2"/>
      <c r="G20" s="2"/>
      <c r="H20" s="2"/>
      <c r="I20" s="2"/>
      <c r="J20" s="2"/>
      <c r="K20" s="2"/>
      <c r="L20" s="2"/>
      <c r="M20" s="2">
        <f t="shared" si="0"/>
        <v>1.27</v>
      </c>
      <c r="N20" s="11">
        <f t="shared" si="1"/>
        <v>0</v>
      </c>
      <c r="O20" s="11">
        <f t="shared" si="2"/>
        <v>0</v>
      </c>
      <c r="P20" s="11">
        <f t="shared" si="3"/>
        <v>0</v>
      </c>
    </row>
    <row r="21" spans="1:16" ht="13.5" thickBot="1">
      <c r="A21" s="9">
        <f t="shared" si="6"/>
        <v>9</v>
      </c>
      <c r="B21" s="10" t="s">
        <v>34</v>
      </c>
      <c r="C21" s="11"/>
      <c r="D21" s="11"/>
      <c r="E21" s="11">
        <v>1.866</v>
      </c>
      <c r="F21" s="11"/>
      <c r="G21" s="11"/>
      <c r="H21" s="11"/>
      <c r="I21" s="11"/>
      <c r="J21" s="11"/>
      <c r="K21" s="11"/>
      <c r="L21" s="11"/>
      <c r="M21" s="11">
        <f t="shared" si="0"/>
        <v>1.866</v>
      </c>
      <c r="N21" s="11">
        <f t="shared" si="1"/>
        <v>0</v>
      </c>
      <c r="O21" s="11">
        <f t="shared" si="2"/>
        <v>0</v>
      </c>
      <c r="P21" s="11">
        <f t="shared" si="3"/>
        <v>0</v>
      </c>
    </row>
    <row r="22" spans="1:16" s="24" customFormat="1" ht="15.75" thickBot="1">
      <c r="A22" s="20"/>
      <c r="B22" s="21" t="s">
        <v>35</v>
      </c>
      <c r="C22" s="22">
        <f aca="true" t="shared" si="7" ref="C22:L22">SUM(C13:C21)</f>
        <v>19.014</v>
      </c>
      <c r="D22" s="22">
        <f t="shared" si="7"/>
        <v>0.655</v>
      </c>
      <c r="E22" s="50">
        <f t="shared" si="7"/>
        <v>16.631999999999998</v>
      </c>
      <c r="F22" s="22">
        <f t="shared" si="7"/>
        <v>1.1530000000000002</v>
      </c>
      <c r="G22" s="22">
        <f t="shared" si="7"/>
        <v>342</v>
      </c>
      <c r="H22" s="22">
        <f t="shared" si="7"/>
        <v>30</v>
      </c>
      <c r="I22" s="22">
        <f t="shared" si="7"/>
        <v>1</v>
      </c>
      <c r="J22" s="22">
        <f t="shared" si="7"/>
        <v>11</v>
      </c>
      <c r="K22" s="22">
        <f t="shared" si="7"/>
        <v>1</v>
      </c>
      <c r="L22" s="22">
        <f t="shared" si="7"/>
        <v>0</v>
      </c>
      <c r="M22" s="22">
        <f t="shared" si="0"/>
        <v>35.646</v>
      </c>
      <c r="N22" s="22">
        <f t="shared" si="1"/>
        <v>373</v>
      </c>
      <c r="O22" s="22">
        <f t="shared" si="2"/>
        <v>1.8080000000000003</v>
      </c>
      <c r="P22" s="23">
        <f t="shared" si="3"/>
        <v>12</v>
      </c>
    </row>
    <row r="23" spans="1:16" ht="12.75">
      <c r="A23" s="14">
        <v>1</v>
      </c>
      <c r="B23" s="15" t="s">
        <v>36</v>
      </c>
      <c r="C23" s="16">
        <v>8.316</v>
      </c>
      <c r="D23" s="16"/>
      <c r="E23" s="49">
        <f>0.1+0.02+0.07</f>
        <v>0.19</v>
      </c>
      <c r="F23" s="16">
        <v>0.15</v>
      </c>
      <c r="G23" s="16">
        <f>96+9+2+1+4</f>
        <v>112</v>
      </c>
      <c r="H23" s="16">
        <f>45-9-2-1-4-1</f>
        <v>28</v>
      </c>
      <c r="I23" s="16"/>
      <c r="J23" s="16"/>
      <c r="K23" s="16"/>
      <c r="L23" s="16"/>
      <c r="M23" s="16">
        <f t="shared" si="0"/>
        <v>8.506</v>
      </c>
      <c r="N23" s="18">
        <f t="shared" si="1"/>
        <v>140</v>
      </c>
      <c r="O23" s="18">
        <f t="shared" si="2"/>
        <v>0.15</v>
      </c>
      <c r="P23" s="18">
        <f t="shared" si="3"/>
        <v>0</v>
      </c>
    </row>
    <row r="24" spans="1:16" ht="12.75">
      <c r="A24" s="3">
        <v>2</v>
      </c>
      <c r="B24" s="8" t="s">
        <v>37</v>
      </c>
      <c r="C24" s="2">
        <v>5.208</v>
      </c>
      <c r="D24" s="2"/>
      <c r="E24" s="47">
        <f>0.1+0.09+0.07+0.15+0.02+0.447</f>
        <v>0.877</v>
      </c>
      <c r="F24" s="2"/>
      <c r="G24" s="2">
        <f>97+4</f>
        <v>101</v>
      </c>
      <c r="H24" s="2">
        <f>3-3</f>
        <v>0</v>
      </c>
      <c r="I24" s="2">
        <f>1-1</f>
        <v>0</v>
      </c>
      <c r="J24" s="2"/>
      <c r="K24" s="2"/>
      <c r="L24" s="2"/>
      <c r="M24" s="2">
        <f t="shared" si="0"/>
        <v>6.085</v>
      </c>
      <c r="N24" s="11">
        <f t="shared" si="1"/>
        <v>101</v>
      </c>
      <c r="O24" s="11">
        <f t="shared" si="2"/>
        <v>0</v>
      </c>
      <c r="P24" s="11">
        <f t="shared" si="3"/>
        <v>0</v>
      </c>
    </row>
    <row r="25" spans="1:16" ht="12.75">
      <c r="A25" s="3">
        <v>3</v>
      </c>
      <c r="B25" s="8" t="s">
        <v>38</v>
      </c>
      <c r="C25" s="2">
        <f>11.951+1</f>
        <v>12.951</v>
      </c>
      <c r="D25" s="2">
        <f>3.618-1</f>
        <v>2.618</v>
      </c>
      <c r="E25" s="47">
        <f>0.08+0.027+0.08+0.25+0.07+0.135</f>
        <v>0.642</v>
      </c>
      <c r="F25" s="2">
        <v>0.1</v>
      </c>
      <c r="G25" s="19">
        <f>130+1+3+5+9+1+1+3+2+4</f>
        <v>159</v>
      </c>
      <c r="H25" s="19">
        <f>71-3-5-9-1-1-3-7+12</f>
        <v>54</v>
      </c>
      <c r="I25" s="2">
        <f>2-2</f>
        <v>0</v>
      </c>
      <c r="J25" s="2"/>
      <c r="K25" s="2">
        <f>72-12</f>
        <v>60</v>
      </c>
      <c r="L25" s="2"/>
      <c r="M25" s="2">
        <f t="shared" si="0"/>
        <v>13.593</v>
      </c>
      <c r="N25" s="11">
        <f t="shared" si="1"/>
        <v>213</v>
      </c>
      <c r="O25" s="11">
        <f t="shared" si="2"/>
        <v>2.718</v>
      </c>
      <c r="P25" s="11">
        <f t="shared" si="3"/>
        <v>60</v>
      </c>
    </row>
    <row r="26" spans="1:16" ht="12.75">
      <c r="A26" s="3">
        <v>4</v>
      </c>
      <c r="B26" s="8" t="s">
        <v>39</v>
      </c>
      <c r="C26" s="2">
        <v>0.534</v>
      </c>
      <c r="D26" s="2">
        <v>0.578</v>
      </c>
      <c r="E26" s="2">
        <v>0.02</v>
      </c>
      <c r="F26" s="2">
        <v>0.22</v>
      </c>
      <c r="G26" s="2">
        <v>11</v>
      </c>
      <c r="H26" s="2"/>
      <c r="I26" s="2"/>
      <c r="J26" s="2">
        <v>10</v>
      </c>
      <c r="K26" s="2">
        <v>2</v>
      </c>
      <c r="L26" s="2"/>
      <c r="M26" s="2">
        <f t="shared" si="0"/>
        <v>0.554</v>
      </c>
      <c r="N26" s="11">
        <f t="shared" si="1"/>
        <v>11</v>
      </c>
      <c r="O26" s="11">
        <f t="shared" si="2"/>
        <v>0.7979999999999999</v>
      </c>
      <c r="P26" s="11">
        <f t="shared" si="3"/>
        <v>12</v>
      </c>
    </row>
    <row r="27" spans="1:16" ht="12.75">
      <c r="A27" s="3">
        <v>5</v>
      </c>
      <c r="B27" s="8" t="s">
        <v>40</v>
      </c>
      <c r="C27" s="47">
        <f>2.3+0.41</f>
        <v>2.71</v>
      </c>
      <c r="D27" s="47">
        <f>15.25-0.41</f>
        <v>14.84</v>
      </c>
      <c r="E27" s="47">
        <f>0.14+0.05+0.009+0.19+0.03</f>
        <v>0.41900000000000004</v>
      </c>
      <c r="F27" s="47">
        <f>0.15+0.08+0.03+0.07+0.015+0.02+0.045+0.19+0.03-0.19-0.03</f>
        <v>0.41000000000000014</v>
      </c>
      <c r="G27" s="2">
        <f>19+10+1+1+4</f>
        <v>35</v>
      </c>
      <c r="H27" s="47">
        <f>6+10</f>
        <v>16</v>
      </c>
      <c r="I27" s="2">
        <v>1</v>
      </c>
      <c r="J27" s="2">
        <f>1+61+5+5+4+2+2+1+1</f>
        <v>82</v>
      </c>
      <c r="K27" s="47">
        <f>139-10</f>
        <v>129</v>
      </c>
      <c r="L27" s="2"/>
      <c r="M27" s="2">
        <f t="shared" si="0"/>
        <v>3.129</v>
      </c>
      <c r="N27" s="11">
        <f t="shared" si="1"/>
        <v>52</v>
      </c>
      <c r="O27" s="11">
        <f t="shared" si="2"/>
        <v>15.25</v>
      </c>
      <c r="P27" s="11">
        <f t="shared" si="3"/>
        <v>211</v>
      </c>
    </row>
    <row r="28" spans="1:16" ht="13.5" thickBot="1">
      <c r="A28" s="9">
        <v>6</v>
      </c>
      <c r="B28" s="10" t="s">
        <v>41</v>
      </c>
      <c r="C28" s="12">
        <f>8.81+0.11</f>
        <v>8.92</v>
      </c>
      <c r="D28" s="11">
        <f>15.416+0.48</f>
        <v>15.896</v>
      </c>
      <c r="E28" s="12">
        <f>0.14+0.09+0.035</f>
        <v>0.265</v>
      </c>
      <c r="F28" s="11">
        <f>0.15+0.76+0.3+0.15+0.05+0.22</f>
        <v>1.63</v>
      </c>
      <c r="G28" s="12">
        <f>68+20+9+2</f>
        <v>99</v>
      </c>
      <c r="H28" s="11">
        <f>42-20</f>
        <v>22</v>
      </c>
      <c r="I28" s="11"/>
      <c r="J28" s="11">
        <f>1+2+5+1</f>
        <v>9</v>
      </c>
      <c r="K28" s="11">
        <f>140+13+7</f>
        <v>160</v>
      </c>
      <c r="L28" s="11">
        <f>1+3+1</f>
        <v>5</v>
      </c>
      <c r="M28" s="11">
        <f t="shared" si="0"/>
        <v>9.185</v>
      </c>
      <c r="N28" s="11">
        <f t="shared" si="1"/>
        <v>121</v>
      </c>
      <c r="O28" s="11">
        <f t="shared" si="2"/>
        <v>17.526</v>
      </c>
      <c r="P28" s="11">
        <f t="shared" si="3"/>
        <v>174</v>
      </c>
    </row>
    <row r="29" spans="1:16" s="13" customFormat="1" ht="15.75" thickBot="1">
      <c r="A29" s="25"/>
      <c r="B29" s="26" t="s">
        <v>42</v>
      </c>
      <c r="C29" s="27">
        <f aca="true" t="shared" si="8" ref="C29:L29">SUM(C23:C28)</f>
        <v>38.639</v>
      </c>
      <c r="D29" s="27">
        <f t="shared" si="8"/>
        <v>33.932</v>
      </c>
      <c r="E29" s="53">
        <f t="shared" si="8"/>
        <v>2.4130000000000003</v>
      </c>
      <c r="F29" s="27">
        <f t="shared" si="8"/>
        <v>2.51</v>
      </c>
      <c r="G29" s="27">
        <f t="shared" si="8"/>
        <v>517</v>
      </c>
      <c r="H29" s="27">
        <f t="shared" si="8"/>
        <v>120</v>
      </c>
      <c r="I29" s="27">
        <f t="shared" si="8"/>
        <v>1</v>
      </c>
      <c r="J29" s="27">
        <f t="shared" si="8"/>
        <v>101</v>
      </c>
      <c r="K29" s="27">
        <f t="shared" si="8"/>
        <v>351</v>
      </c>
      <c r="L29" s="27">
        <f t="shared" si="8"/>
        <v>5</v>
      </c>
      <c r="M29" s="27">
        <f t="shared" si="0"/>
        <v>41.05200000000001</v>
      </c>
      <c r="N29" s="27">
        <f t="shared" si="1"/>
        <v>638</v>
      </c>
      <c r="O29" s="27">
        <f t="shared" si="2"/>
        <v>36.442</v>
      </c>
      <c r="P29" s="28">
        <f t="shared" si="3"/>
        <v>457</v>
      </c>
    </row>
    <row r="30" spans="1:16" ht="12.75">
      <c r="A30" s="14">
        <v>1</v>
      </c>
      <c r="B30" s="15" t="s">
        <v>43</v>
      </c>
      <c r="C30" s="16"/>
      <c r="D30" s="16"/>
      <c r="E30" s="49">
        <f>2.38+0.25+0.3</f>
        <v>2.9299999999999997</v>
      </c>
      <c r="F30" s="16"/>
      <c r="G30" s="16"/>
      <c r="H30" s="16"/>
      <c r="I30" s="16"/>
      <c r="J30" s="16"/>
      <c r="K30" s="16"/>
      <c r="L30" s="16"/>
      <c r="M30" s="18">
        <f t="shared" si="0"/>
        <v>2.9299999999999997</v>
      </c>
      <c r="N30" s="18">
        <f t="shared" si="1"/>
        <v>0</v>
      </c>
      <c r="O30" s="18">
        <f t="shared" si="2"/>
        <v>0</v>
      </c>
      <c r="P30" s="18">
        <f t="shared" si="3"/>
        <v>0</v>
      </c>
    </row>
    <row r="31" spans="1:16" ht="12.75">
      <c r="A31" s="3">
        <v>2</v>
      </c>
      <c r="B31" s="8" t="s">
        <v>44</v>
      </c>
      <c r="C31" s="2"/>
      <c r="D31" s="2"/>
      <c r="E31" s="49">
        <f>2.38+0.25+0.3</f>
        <v>2.9299999999999997</v>
      </c>
      <c r="F31" s="2"/>
      <c r="G31" s="2"/>
      <c r="H31" s="2"/>
      <c r="I31" s="2"/>
      <c r="J31" s="2"/>
      <c r="K31" s="2"/>
      <c r="L31" s="2"/>
      <c r="M31" s="2">
        <f t="shared" si="0"/>
        <v>2.9299999999999997</v>
      </c>
      <c r="N31" s="11">
        <f t="shared" si="1"/>
        <v>0</v>
      </c>
      <c r="O31" s="11">
        <f t="shared" si="2"/>
        <v>0</v>
      </c>
      <c r="P31" s="11">
        <f t="shared" si="3"/>
        <v>0</v>
      </c>
    </row>
    <row r="32" spans="1:16" ht="12.75">
      <c r="A32" s="3">
        <v>3</v>
      </c>
      <c r="B32" s="8" t="s">
        <v>45</v>
      </c>
      <c r="C32" s="2"/>
      <c r="D32" s="2"/>
      <c r="E32" s="2">
        <v>1.235</v>
      </c>
      <c r="F32" s="2"/>
      <c r="G32" s="2"/>
      <c r="H32" s="2"/>
      <c r="I32" s="2"/>
      <c r="J32" s="2"/>
      <c r="K32" s="2"/>
      <c r="L32" s="2"/>
      <c r="M32" s="2">
        <f t="shared" si="0"/>
        <v>1.235</v>
      </c>
      <c r="N32" s="11">
        <f t="shared" si="1"/>
        <v>0</v>
      </c>
      <c r="O32" s="11">
        <f t="shared" si="2"/>
        <v>0</v>
      </c>
      <c r="P32" s="11">
        <f t="shared" si="3"/>
        <v>0</v>
      </c>
    </row>
    <row r="33" spans="1:16" ht="12.75">
      <c r="A33" s="3">
        <v>4</v>
      </c>
      <c r="B33" s="8" t="s">
        <v>46</v>
      </c>
      <c r="C33" s="2"/>
      <c r="D33" s="2"/>
      <c r="E33" s="2">
        <v>1.235</v>
      </c>
      <c r="F33" s="2"/>
      <c r="G33" s="2"/>
      <c r="H33" s="2"/>
      <c r="I33" s="2"/>
      <c r="J33" s="2"/>
      <c r="K33" s="2"/>
      <c r="L33" s="2"/>
      <c r="M33" s="2">
        <f t="shared" si="0"/>
        <v>1.235</v>
      </c>
      <c r="N33" s="11">
        <f t="shared" si="1"/>
        <v>0</v>
      </c>
      <c r="O33" s="11">
        <f t="shared" si="2"/>
        <v>0</v>
      </c>
      <c r="P33" s="11">
        <f t="shared" si="3"/>
        <v>0</v>
      </c>
    </row>
    <row r="34" spans="1:16" ht="12.75">
      <c r="A34" s="3">
        <v>5</v>
      </c>
      <c r="B34" s="8" t="s">
        <v>47</v>
      </c>
      <c r="C34" s="2"/>
      <c r="D34" s="2"/>
      <c r="E34" s="2">
        <v>0.46</v>
      </c>
      <c r="F34" s="2"/>
      <c r="G34" s="2"/>
      <c r="H34" s="2"/>
      <c r="I34" s="2"/>
      <c r="J34" s="2"/>
      <c r="K34" s="2"/>
      <c r="L34" s="2"/>
      <c r="M34" s="2">
        <f t="shared" si="0"/>
        <v>0.46</v>
      </c>
      <c r="N34" s="11">
        <f t="shared" si="1"/>
        <v>0</v>
      </c>
      <c r="O34" s="11">
        <f t="shared" si="2"/>
        <v>0</v>
      </c>
      <c r="P34" s="11">
        <f t="shared" si="3"/>
        <v>0</v>
      </c>
    </row>
    <row r="35" spans="1:16" ht="12.75">
      <c r="A35" s="3">
        <v>6</v>
      </c>
      <c r="B35" s="8" t="s">
        <v>48</v>
      </c>
      <c r="C35" s="2"/>
      <c r="D35" s="2"/>
      <c r="E35" s="47">
        <f>0.95+0.2</f>
        <v>1.15</v>
      </c>
      <c r="F35" s="2"/>
      <c r="G35" s="2"/>
      <c r="H35" s="2"/>
      <c r="I35" s="2"/>
      <c r="J35" s="2"/>
      <c r="K35" s="2"/>
      <c r="L35" s="2"/>
      <c r="M35" s="2">
        <f t="shared" si="0"/>
        <v>1.15</v>
      </c>
      <c r="N35" s="11">
        <f t="shared" si="1"/>
        <v>0</v>
      </c>
      <c r="O35" s="11">
        <f t="shared" si="2"/>
        <v>0</v>
      </c>
      <c r="P35" s="11">
        <f t="shared" si="3"/>
        <v>0</v>
      </c>
    </row>
    <row r="36" spans="1:16" ht="12.75">
      <c r="A36" s="3">
        <v>7</v>
      </c>
      <c r="B36" s="8" t="s">
        <v>49</v>
      </c>
      <c r="C36" s="2">
        <v>3.62</v>
      </c>
      <c r="D36" s="2">
        <v>0.45</v>
      </c>
      <c r="E36" s="47">
        <f>0.075+0.07+0.06+0.3+0.036+0.062+0.438</f>
        <v>1.041</v>
      </c>
      <c r="F36" s="2">
        <v>0.138</v>
      </c>
      <c r="G36" s="2">
        <v>67</v>
      </c>
      <c r="H36" s="2">
        <v>4</v>
      </c>
      <c r="I36" s="2"/>
      <c r="J36" s="2">
        <v>9</v>
      </c>
      <c r="K36" s="2"/>
      <c r="L36" s="2"/>
      <c r="M36" s="2">
        <f t="shared" si="0"/>
        <v>4.661</v>
      </c>
      <c r="N36" s="11">
        <f t="shared" si="1"/>
        <v>71</v>
      </c>
      <c r="O36" s="11">
        <f t="shared" si="2"/>
        <v>0.5880000000000001</v>
      </c>
      <c r="P36" s="11">
        <f t="shared" si="3"/>
        <v>9</v>
      </c>
    </row>
    <row r="37" spans="1:16" ht="12.75">
      <c r="A37" s="3">
        <v>8</v>
      </c>
      <c r="B37" s="8" t="s">
        <v>50</v>
      </c>
      <c r="C37" s="2"/>
      <c r="D37" s="2"/>
      <c r="E37" s="2">
        <v>0.49</v>
      </c>
      <c r="F37" s="2"/>
      <c r="G37" s="2"/>
      <c r="H37" s="2"/>
      <c r="I37" s="2"/>
      <c r="J37" s="2"/>
      <c r="K37" s="2"/>
      <c r="L37" s="2"/>
      <c r="M37" s="2">
        <f t="shared" si="0"/>
        <v>0.49</v>
      </c>
      <c r="N37" s="11">
        <f t="shared" si="1"/>
        <v>0</v>
      </c>
      <c r="O37" s="11">
        <f t="shared" si="2"/>
        <v>0</v>
      </c>
      <c r="P37" s="11">
        <f t="shared" si="3"/>
        <v>0</v>
      </c>
    </row>
    <row r="38" spans="1:16" ht="13.5" thickBot="1">
      <c r="A38" s="9">
        <v>9</v>
      </c>
      <c r="B38" s="10" t="s">
        <v>51</v>
      </c>
      <c r="C38" s="11">
        <v>0.41</v>
      </c>
      <c r="D38" s="11">
        <v>0.11</v>
      </c>
      <c r="E38" s="11">
        <v>1.148</v>
      </c>
      <c r="F38" s="11"/>
      <c r="G38" s="11">
        <v>8</v>
      </c>
      <c r="H38" s="11"/>
      <c r="I38" s="11"/>
      <c r="J38" s="11"/>
      <c r="K38" s="11">
        <v>3</v>
      </c>
      <c r="L38" s="11"/>
      <c r="M38" s="18">
        <f t="shared" si="0"/>
        <v>1.5579999999999998</v>
      </c>
      <c r="N38" s="11">
        <f t="shared" si="1"/>
        <v>8</v>
      </c>
      <c r="O38" s="11">
        <f t="shared" si="2"/>
        <v>0.11</v>
      </c>
      <c r="P38" s="11">
        <f t="shared" si="3"/>
        <v>3</v>
      </c>
    </row>
    <row r="39" spans="1:16" s="13" customFormat="1" ht="15.75" thickBot="1">
      <c r="A39" s="25"/>
      <c r="B39" s="26" t="s">
        <v>52</v>
      </c>
      <c r="C39" s="27">
        <f aca="true" t="shared" si="9" ref="C39:L39">SUM(C30:C38)</f>
        <v>4.03</v>
      </c>
      <c r="D39" s="27">
        <f t="shared" si="9"/>
        <v>0.56</v>
      </c>
      <c r="E39" s="53">
        <f t="shared" si="9"/>
        <v>12.619000000000002</v>
      </c>
      <c r="F39" s="27">
        <f t="shared" si="9"/>
        <v>0.138</v>
      </c>
      <c r="G39" s="27">
        <f t="shared" si="9"/>
        <v>75</v>
      </c>
      <c r="H39" s="27">
        <f t="shared" si="9"/>
        <v>4</v>
      </c>
      <c r="I39" s="27">
        <f t="shared" si="9"/>
        <v>0</v>
      </c>
      <c r="J39" s="27">
        <f t="shared" si="9"/>
        <v>9</v>
      </c>
      <c r="K39" s="27">
        <f t="shared" si="9"/>
        <v>3</v>
      </c>
      <c r="L39" s="27">
        <f t="shared" si="9"/>
        <v>0</v>
      </c>
      <c r="M39" s="27">
        <f t="shared" si="0"/>
        <v>16.649</v>
      </c>
      <c r="N39" s="27">
        <f t="shared" si="1"/>
        <v>79</v>
      </c>
      <c r="O39" s="27">
        <f t="shared" si="2"/>
        <v>0.6980000000000001</v>
      </c>
      <c r="P39" s="28">
        <f t="shared" si="3"/>
        <v>12</v>
      </c>
    </row>
    <row r="40" spans="1:16" ht="12.75">
      <c r="A40" s="14">
        <v>1</v>
      </c>
      <c r="B40" s="15" t="s">
        <v>53</v>
      </c>
      <c r="C40" s="16">
        <v>0.16</v>
      </c>
      <c r="D40" s="16"/>
      <c r="E40" s="49">
        <f>0.1+0.2+0.05+0.06+0.052</f>
        <v>0.462</v>
      </c>
      <c r="F40" s="16"/>
      <c r="G40" s="16">
        <v>3</v>
      </c>
      <c r="H40" s="16"/>
      <c r="I40" s="16"/>
      <c r="J40" s="16"/>
      <c r="K40" s="16"/>
      <c r="L40" s="16"/>
      <c r="M40" s="18">
        <f t="shared" si="0"/>
        <v>0.622</v>
      </c>
      <c r="N40" s="18">
        <f t="shared" si="1"/>
        <v>3</v>
      </c>
      <c r="O40" s="18">
        <f t="shared" si="2"/>
        <v>0</v>
      </c>
      <c r="P40" s="18">
        <f t="shared" si="3"/>
        <v>0</v>
      </c>
    </row>
    <row r="41" spans="1:16" ht="12.75">
      <c r="A41" s="3">
        <v>2</v>
      </c>
      <c r="B41" s="8" t="s">
        <v>54</v>
      </c>
      <c r="C41" s="2">
        <v>0.839</v>
      </c>
      <c r="D41" s="2"/>
      <c r="E41" s="47">
        <f>0.06+0.052</f>
        <v>0.11199999999999999</v>
      </c>
      <c r="F41" s="2"/>
      <c r="G41" s="2">
        <v>17</v>
      </c>
      <c r="H41" s="2"/>
      <c r="I41" s="2"/>
      <c r="J41" s="2"/>
      <c r="K41" s="2"/>
      <c r="L41" s="2"/>
      <c r="M41" s="2">
        <f t="shared" si="0"/>
        <v>0.951</v>
      </c>
      <c r="N41" s="11">
        <f t="shared" si="1"/>
        <v>17</v>
      </c>
      <c r="O41" s="11">
        <f t="shared" si="2"/>
        <v>0</v>
      </c>
      <c r="P41" s="11">
        <f t="shared" si="3"/>
        <v>0</v>
      </c>
    </row>
    <row r="42" spans="1:16" ht="12.75">
      <c r="A42" s="3">
        <v>3</v>
      </c>
      <c r="B42" s="8" t="s">
        <v>55</v>
      </c>
      <c r="C42" s="2">
        <f>2.468+0.1</f>
        <v>2.568</v>
      </c>
      <c r="D42" s="2"/>
      <c r="E42" s="47">
        <f>0.125+0.21+0.065+0.244+0.045+0.545+0.5</f>
        <v>1.734</v>
      </c>
      <c r="F42" s="2"/>
      <c r="G42" s="2">
        <f>32+2</f>
        <v>34</v>
      </c>
      <c r="H42" s="2"/>
      <c r="I42" s="2"/>
      <c r="J42" s="2"/>
      <c r="K42" s="2"/>
      <c r="L42" s="2"/>
      <c r="M42" s="2">
        <f t="shared" si="0"/>
        <v>4.302</v>
      </c>
      <c r="N42" s="11">
        <f t="shared" si="1"/>
        <v>34</v>
      </c>
      <c r="O42" s="11">
        <f t="shared" si="2"/>
        <v>0</v>
      </c>
      <c r="P42" s="11">
        <f t="shared" si="3"/>
        <v>0</v>
      </c>
    </row>
    <row r="43" spans="1:16" ht="13.5" thickBot="1">
      <c r="A43" s="9">
        <v>4</v>
      </c>
      <c r="B43" s="10" t="s">
        <v>56</v>
      </c>
      <c r="C43" s="11">
        <v>0.15</v>
      </c>
      <c r="D43" s="11"/>
      <c r="E43" s="11">
        <f>0.105+0.055</f>
        <v>0.16</v>
      </c>
      <c r="F43" s="11"/>
      <c r="G43" s="11">
        <v>4</v>
      </c>
      <c r="H43" s="11"/>
      <c r="I43" s="11"/>
      <c r="J43" s="11"/>
      <c r="K43" s="11"/>
      <c r="L43" s="11"/>
      <c r="M43" s="18">
        <f t="shared" si="0"/>
        <v>0.31</v>
      </c>
      <c r="N43" s="29">
        <f t="shared" si="1"/>
        <v>4</v>
      </c>
      <c r="O43" s="29"/>
      <c r="P43" s="29"/>
    </row>
    <row r="44" spans="1:16" s="24" customFormat="1" ht="15.75" thickBot="1">
      <c r="A44" s="30"/>
      <c r="B44" s="22" t="s">
        <v>57</v>
      </c>
      <c r="C44" s="22">
        <f aca="true" t="shared" si="10" ref="C44:L44">SUM(C40:C43)</f>
        <v>3.717</v>
      </c>
      <c r="D44" s="22">
        <f t="shared" si="10"/>
        <v>0</v>
      </c>
      <c r="E44" s="50">
        <f t="shared" si="10"/>
        <v>2.468</v>
      </c>
      <c r="F44" s="22">
        <f t="shared" si="10"/>
        <v>0</v>
      </c>
      <c r="G44" s="22">
        <f t="shared" si="10"/>
        <v>58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0"/>
        <v>6.1850000000000005</v>
      </c>
      <c r="N44" s="22">
        <f>SUM(N40:N43)</f>
        <v>58</v>
      </c>
      <c r="O44" s="22">
        <f>SUM(O40:O43)</f>
        <v>0</v>
      </c>
      <c r="P44" s="23">
        <f>SUM(P40:P43)</f>
        <v>0</v>
      </c>
    </row>
    <row r="45" spans="1:16" s="24" customFormat="1" ht="15.75" thickBot="1">
      <c r="A45" s="30"/>
      <c r="B45" s="22" t="s">
        <v>58</v>
      </c>
      <c r="C45" s="22">
        <v>0.85</v>
      </c>
      <c r="D45" s="22"/>
      <c r="E45" s="22">
        <v>0.23</v>
      </c>
      <c r="F45" s="22"/>
      <c r="G45" s="22">
        <v>8</v>
      </c>
      <c r="H45" s="22">
        <v>9</v>
      </c>
      <c r="I45" s="22"/>
      <c r="J45" s="22"/>
      <c r="K45" s="22"/>
      <c r="L45" s="22">
        <v>1</v>
      </c>
      <c r="M45" s="22"/>
      <c r="N45" s="22"/>
      <c r="O45" s="31"/>
      <c r="P45" s="32"/>
    </row>
    <row r="46" spans="1:16" s="24" customFormat="1" ht="15.75" thickBot="1">
      <c r="A46" s="30"/>
      <c r="B46" s="22" t="s">
        <v>59</v>
      </c>
      <c r="C46" s="22">
        <v>0.4</v>
      </c>
      <c r="D46" s="22"/>
      <c r="E46" s="22">
        <v>0.015</v>
      </c>
      <c r="F46" s="22"/>
      <c r="G46" s="22"/>
      <c r="H46" s="22">
        <v>7</v>
      </c>
      <c r="I46" s="22"/>
      <c r="J46" s="22"/>
      <c r="K46" s="22"/>
      <c r="L46" s="22"/>
      <c r="M46" s="22"/>
      <c r="N46" s="33"/>
      <c r="O46" s="34"/>
      <c r="P46" s="35"/>
    </row>
    <row r="47" spans="1:16" ht="12.75">
      <c r="A47" s="14">
        <v>1</v>
      </c>
      <c r="B47" s="16" t="s">
        <v>60</v>
      </c>
      <c r="C47" s="16"/>
      <c r="D47" s="16"/>
      <c r="E47" s="16">
        <v>0.2</v>
      </c>
      <c r="F47" s="16"/>
      <c r="G47" s="16"/>
      <c r="H47" s="16"/>
      <c r="I47" s="16"/>
      <c r="J47" s="16"/>
      <c r="K47" s="16"/>
      <c r="L47" s="16"/>
      <c r="M47" s="16">
        <v>0.2</v>
      </c>
      <c r="N47" s="2">
        <v>0</v>
      </c>
      <c r="O47" s="2">
        <v>0</v>
      </c>
      <c r="P47" s="2">
        <v>0</v>
      </c>
    </row>
    <row r="48" spans="1:16" ht="13.5" thickBot="1">
      <c r="A48" s="36">
        <v>2</v>
      </c>
      <c r="B48" s="18" t="s">
        <v>61</v>
      </c>
      <c r="C48" s="18"/>
      <c r="D48" s="18"/>
      <c r="E48" s="18">
        <v>0.5</v>
      </c>
      <c r="F48" s="18"/>
      <c r="G48" s="18"/>
      <c r="H48" s="18"/>
      <c r="I48" s="18"/>
      <c r="J48" s="18"/>
      <c r="K48" s="18"/>
      <c r="L48" s="18"/>
      <c r="M48" s="18">
        <v>0.5</v>
      </c>
      <c r="N48" s="11">
        <v>0</v>
      </c>
      <c r="O48" s="11">
        <v>0</v>
      </c>
      <c r="P48" s="11">
        <v>0</v>
      </c>
    </row>
    <row r="49" spans="1:16" s="13" customFormat="1" ht="15.75" thickBot="1">
      <c r="A49" s="37"/>
      <c r="B49" s="27" t="s">
        <v>62</v>
      </c>
      <c r="C49" s="27"/>
      <c r="D49" s="27"/>
      <c r="E49" s="27">
        <f>E47+E48</f>
        <v>0.7</v>
      </c>
      <c r="F49" s="27"/>
      <c r="G49" s="27"/>
      <c r="H49" s="27"/>
      <c r="I49" s="27"/>
      <c r="J49" s="27"/>
      <c r="K49" s="27"/>
      <c r="L49" s="27"/>
      <c r="M49" s="27">
        <f>SUM(M47:M48)</f>
        <v>0.7</v>
      </c>
      <c r="N49" s="27">
        <f>SUM(N47:N48)</f>
        <v>0</v>
      </c>
      <c r="O49" s="28">
        <f>SUM(O47:O48)</f>
        <v>0</v>
      </c>
      <c r="P49" s="38">
        <f>SUM(P47:P48)</f>
        <v>0</v>
      </c>
    </row>
    <row r="50" spans="1:16" ht="12.75">
      <c r="A50" s="14">
        <v>1</v>
      </c>
      <c r="B50" s="16" t="s">
        <v>63</v>
      </c>
      <c r="C50" s="16"/>
      <c r="D50" s="16"/>
      <c r="E50" s="49">
        <v>0.165</v>
      </c>
      <c r="F50" s="16"/>
      <c r="G50" s="16"/>
      <c r="H50" s="16"/>
      <c r="I50" s="16"/>
      <c r="J50" s="16"/>
      <c r="K50" s="16"/>
      <c r="L50" s="16"/>
      <c r="M50" s="16">
        <v>0.32</v>
      </c>
      <c r="N50" s="16">
        <v>0</v>
      </c>
      <c r="O50" s="16">
        <v>0</v>
      </c>
      <c r="P50" s="16">
        <v>0</v>
      </c>
    </row>
    <row r="51" spans="1:16" ht="12.75">
      <c r="A51" s="14">
        <v>2</v>
      </c>
      <c r="B51" s="16" t="s">
        <v>64</v>
      </c>
      <c r="C51" s="16">
        <v>0.2</v>
      </c>
      <c r="D51" s="16"/>
      <c r="E51" s="49">
        <v>0.135</v>
      </c>
      <c r="F51" s="16"/>
      <c r="G51" s="16">
        <v>2</v>
      </c>
      <c r="H51" s="16">
        <v>2</v>
      </c>
      <c r="I51" s="16"/>
      <c r="J51" s="16"/>
      <c r="K51" s="16"/>
      <c r="L51" s="16"/>
      <c r="M51" s="16">
        <f>C51+E51</f>
        <v>0.335</v>
      </c>
      <c r="N51" s="16">
        <f>G51+H51</f>
        <v>4</v>
      </c>
      <c r="O51" s="16">
        <v>0</v>
      </c>
      <c r="P51" s="16">
        <v>0</v>
      </c>
    </row>
    <row r="52" spans="1:16" ht="12.75">
      <c r="A52" s="14">
        <v>3</v>
      </c>
      <c r="B52" s="16" t="s">
        <v>65</v>
      </c>
      <c r="C52" s="16"/>
      <c r="D52" s="16"/>
      <c r="E52" s="16"/>
      <c r="F52" s="16">
        <f>2*0.09</f>
        <v>0.18</v>
      </c>
      <c r="G52" s="16"/>
      <c r="H52" s="16"/>
      <c r="I52" s="16"/>
      <c r="J52" s="16"/>
      <c r="K52" s="16"/>
      <c r="L52" s="16"/>
      <c r="M52" s="16">
        <v>0</v>
      </c>
      <c r="N52" s="16">
        <v>0</v>
      </c>
      <c r="O52" s="16">
        <f>2*0.09</f>
        <v>0.18</v>
      </c>
      <c r="P52" s="16">
        <v>0</v>
      </c>
    </row>
    <row r="53" spans="1:16" ht="12.75">
      <c r="A53" s="14">
        <v>4</v>
      </c>
      <c r="B53" s="16" t="s">
        <v>66</v>
      </c>
      <c r="C53" s="16"/>
      <c r="D53" s="16"/>
      <c r="E53" s="16"/>
      <c r="F53" s="16">
        <f>2*0.09</f>
        <v>0.18</v>
      </c>
      <c r="G53" s="16"/>
      <c r="H53" s="16"/>
      <c r="I53" s="16"/>
      <c r="J53" s="16"/>
      <c r="K53" s="16"/>
      <c r="L53" s="16"/>
      <c r="M53" s="16">
        <v>0</v>
      </c>
      <c r="N53" s="16">
        <v>0</v>
      </c>
      <c r="O53" s="16">
        <f>2*0.09</f>
        <v>0.18</v>
      </c>
      <c r="P53" s="16">
        <v>0</v>
      </c>
    </row>
    <row r="54" spans="1:16" ht="13.5" thickBot="1">
      <c r="A54" s="36">
        <v>5</v>
      </c>
      <c r="B54" s="18" t="s">
        <v>67</v>
      </c>
      <c r="C54" s="18"/>
      <c r="D54" s="18"/>
      <c r="E54" s="18"/>
      <c r="F54" s="18">
        <v>0.012</v>
      </c>
      <c r="G54" s="18"/>
      <c r="H54" s="18"/>
      <c r="I54" s="18"/>
      <c r="J54" s="18"/>
      <c r="K54" s="18"/>
      <c r="L54" s="18"/>
      <c r="M54" s="18">
        <v>0</v>
      </c>
      <c r="N54" s="18">
        <v>0</v>
      </c>
      <c r="O54" s="18">
        <v>0.012</v>
      </c>
      <c r="P54" s="18">
        <v>0</v>
      </c>
    </row>
    <row r="55" spans="1:16" s="13" customFormat="1" ht="15.75" thickBot="1">
      <c r="A55" s="37"/>
      <c r="B55" s="27" t="s">
        <v>68</v>
      </c>
      <c r="C55" s="27">
        <f>SUM(C51:C54)</f>
        <v>0.2</v>
      </c>
      <c r="D55" s="27"/>
      <c r="E55" s="53">
        <f>SUM(E50:E54)</f>
        <v>0.30000000000000004</v>
      </c>
      <c r="F55" s="27">
        <f>SUM(F52:F54)</f>
        <v>0.372</v>
      </c>
      <c r="G55" s="27">
        <f>SUM(G50:G54)</f>
        <v>2</v>
      </c>
      <c r="H55" s="27">
        <f>SUM(H50:H54)</f>
        <v>2</v>
      </c>
      <c r="I55" s="27"/>
      <c r="J55" s="27"/>
      <c r="K55" s="27"/>
      <c r="L55" s="27"/>
      <c r="M55" s="27">
        <f>SUM(M50:M54)</f>
        <v>0.655</v>
      </c>
      <c r="N55" s="27">
        <f>SUM(N50:N54)</f>
        <v>4</v>
      </c>
      <c r="O55" s="27">
        <f>SUM(O50:O54)</f>
        <v>0.372</v>
      </c>
      <c r="P55" s="28">
        <f>SUM(P50:P54)</f>
        <v>0</v>
      </c>
    </row>
    <row r="56" spans="1:16" ht="12.75">
      <c r="A56" s="14">
        <v>1</v>
      </c>
      <c r="B56" s="16" t="s">
        <v>69</v>
      </c>
      <c r="C56" s="16"/>
      <c r="D56" s="16"/>
      <c r="E56" s="16">
        <v>0.028</v>
      </c>
      <c r="F56" s="16"/>
      <c r="G56" s="16"/>
      <c r="H56" s="16"/>
      <c r="I56" s="16"/>
      <c r="J56" s="16"/>
      <c r="K56" s="16"/>
      <c r="L56" s="16"/>
      <c r="M56" s="16">
        <f>C56+E56</f>
        <v>0.028</v>
      </c>
      <c r="N56" s="16">
        <v>0</v>
      </c>
      <c r="O56" s="16">
        <v>0</v>
      </c>
      <c r="P56" s="16">
        <v>0</v>
      </c>
    </row>
    <row r="57" spans="1:16" ht="12.75">
      <c r="A57" s="3">
        <v>2</v>
      </c>
      <c r="B57" s="2" t="s">
        <v>70</v>
      </c>
      <c r="C57" s="2"/>
      <c r="D57" s="2"/>
      <c r="E57" s="47">
        <v>0.28</v>
      </c>
      <c r="F57" s="2"/>
      <c r="G57" s="2"/>
      <c r="H57" s="2"/>
      <c r="I57" s="2"/>
      <c r="J57" s="2"/>
      <c r="K57" s="2"/>
      <c r="L57" s="2"/>
      <c r="M57" s="2">
        <f>C57+E57</f>
        <v>0.28</v>
      </c>
      <c r="N57" s="2">
        <v>0</v>
      </c>
      <c r="O57" s="2">
        <v>0</v>
      </c>
      <c r="P57" s="2">
        <v>0</v>
      </c>
    </row>
    <row r="58" spans="1:16" ht="12.75">
      <c r="A58" s="3">
        <v>3</v>
      </c>
      <c r="B58" s="2" t="s">
        <v>71</v>
      </c>
      <c r="C58" s="2"/>
      <c r="D58" s="2"/>
      <c r="E58" s="47">
        <v>0.28</v>
      </c>
      <c r="F58" s="2"/>
      <c r="G58" s="2"/>
      <c r="H58" s="2"/>
      <c r="I58" s="2"/>
      <c r="J58" s="2"/>
      <c r="K58" s="2"/>
      <c r="L58" s="2"/>
      <c r="M58" s="2">
        <f>C58+E58</f>
        <v>0.28</v>
      </c>
      <c r="N58" s="2">
        <v>0</v>
      </c>
      <c r="O58" s="2">
        <v>0</v>
      </c>
      <c r="P58" s="2">
        <v>0</v>
      </c>
    </row>
    <row r="59" spans="1:16" ht="13.5" thickBot="1">
      <c r="A59" s="9">
        <v>4</v>
      </c>
      <c r="B59" s="11" t="s">
        <v>72</v>
      </c>
      <c r="C59" s="11"/>
      <c r="D59" s="11"/>
      <c r="E59" s="11">
        <v>0.04</v>
      </c>
      <c r="F59" s="11"/>
      <c r="G59" s="11"/>
      <c r="H59" s="11"/>
      <c r="I59" s="11"/>
      <c r="J59" s="11"/>
      <c r="K59" s="11"/>
      <c r="L59" s="11"/>
      <c r="M59" s="11">
        <f>C59+E59</f>
        <v>0.04</v>
      </c>
      <c r="N59" s="11">
        <v>0</v>
      </c>
      <c r="O59" s="11">
        <v>0</v>
      </c>
      <c r="P59" s="11">
        <v>0</v>
      </c>
    </row>
    <row r="60" spans="1:16" s="13" customFormat="1" ht="15.75" thickBot="1">
      <c r="A60" s="37"/>
      <c r="B60" s="27" t="s">
        <v>73</v>
      </c>
      <c r="C60" s="27"/>
      <c r="D60" s="27"/>
      <c r="E60" s="53">
        <f>SUM(E56:E59)</f>
        <v>0.6280000000000001</v>
      </c>
      <c r="F60" s="27"/>
      <c r="G60" s="27"/>
      <c r="H60" s="27"/>
      <c r="I60" s="27"/>
      <c r="J60" s="27"/>
      <c r="K60" s="27"/>
      <c r="L60" s="27"/>
      <c r="M60" s="28">
        <f>SUM(M56:M59)</f>
        <v>0.6280000000000001</v>
      </c>
      <c r="N60" s="25">
        <f>SUM(N56:N59)</f>
        <v>0</v>
      </c>
      <c r="O60" s="28">
        <f>SUM(O56:O59)</f>
        <v>0</v>
      </c>
      <c r="P60" s="39">
        <f>SUM(P56:P59)</f>
        <v>0</v>
      </c>
    </row>
    <row r="61" spans="1:16" ht="12.75">
      <c r="A61" s="14">
        <v>1</v>
      </c>
      <c r="B61" s="16" t="s">
        <v>74</v>
      </c>
      <c r="C61" s="16"/>
      <c r="D61" s="16"/>
      <c r="E61" s="16">
        <v>0.13</v>
      </c>
      <c r="F61" s="16"/>
      <c r="G61" s="16"/>
      <c r="H61" s="16"/>
      <c r="I61" s="16"/>
      <c r="J61" s="16"/>
      <c r="K61" s="16"/>
      <c r="L61" s="16"/>
      <c r="M61" s="16">
        <f>C61+E61</f>
        <v>0.13</v>
      </c>
      <c r="N61" s="16">
        <v>0</v>
      </c>
      <c r="O61" s="16">
        <v>0</v>
      </c>
      <c r="P61" s="16">
        <v>0</v>
      </c>
    </row>
    <row r="62" spans="1:16" ht="12.75">
      <c r="A62" s="3">
        <v>2</v>
      </c>
      <c r="B62" s="2" t="s">
        <v>75</v>
      </c>
      <c r="C62" s="2"/>
      <c r="D62" s="2"/>
      <c r="E62" s="2">
        <v>0.13</v>
      </c>
      <c r="F62" s="2"/>
      <c r="G62" s="2"/>
      <c r="H62" s="2"/>
      <c r="I62" s="2"/>
      <c r="J62" s="2"/>
      <c r="K62" s="2"/>
      <c r="L62" s="2"/>
      <c r="M62" s="2">
        <f>C62+E62</f>
        <v>0.13</v>
      </c>
      <c r="N62" s="2">
        <v>0</v>
      </c>
      <c r="O62" s="2">
        <v>0</v>
      </c>
      <c r="P62" s="2">
        <v>0</v>
      </c>
    </row>
    <row r="63" spans="1:16" ht="12.75">
      <c r="A63" s="3">
        <v>3</v>
      </c>
      <c r="B63" s="2" t="s">
        <v>76</v>
      </c>
      <c r="C63" s="2"/>
      <c r="D63" s="2"/>
      <c r="E63" s="2">
        <v>0.118</v>
      </c>
      <c r="F63" s="2"/>
      <c r="G63" s="2"/>
      <c r="H63" s="2"/>
      <c r="I63" s="2"/>
      <c r="J63" s="2"/>
      <c r="K63" s="2"/>
      <c r="L63" s="2"/>
      <c r="M63" s="2">
        <f>C63+E63</f>
        <v>0.118</v>
      </c>
      <c r="N63" s="2">
        <v>0</v>
      </c>
      <c r="O63" s="2">
        <v>0</v>
      </c>
      <c r="P63" s="2">
        <v>0</v>
      </c>
    </row>
    <row r="64" spans="1:16" ht="13.5" thickBot="1">
      <c r="A64" s="3">
        <v>4</v>
      </c>
      <c r="B64" s="2" t="s">
        <v>77</v>
      </c>
      <c r="C64" s="2"/>
      <c r="D64" s="2"/>
      <c r="E64" s="2">
        <v>0.118</v>
      </c>
      <c r="F64" s="2"/>
      <c r="G64" s="2"/>
      <c r="H64" s="2"/>
      <c r="I64" s="2"/>
      <c r="J64" s="2"/>
      <c r="K64" s="2"/>
      <c r="L64" s="2"/>
      <c r="M64" s="2">
        <f>C64+E64</f>
        <v>0.118</v>
      </c>
      <c r="N64" s="2">
        <v>0</v>
      </c>
      <c r="O64" s="2">
        <v>0</v>
      </c>
      <c r="P64" s="2">
        <v>0</v>
      </c>
    </row>
    <row r="65" spans="1:16" s="13" customFormat="1" ht="15.75" thickBot="1">
      <c r="A65" s="37"/>
      <c r="B65" s="27" t="s">
        <v>78</v>
      </c>
      <c r="C65" s="27"/>
      <c r="D65" s="27"/>
      <c r="E65" s="27">
        <f>SUM(E61:E64)</f>
        <v>0.496</v>
      </c>
      <c r="F65" s="27"/>
      <c r="G65" s="27"/>
      <c r="H65" s="27"/>
      <c r="I65" s="27"/>
      <c r="J65" s="27"/>
      <c r="K65" s="27"/>
      <c r="L65" s="28"/>
      <c r="M65" s="25">
        <f>SUM(M61:M64)</f>
        <v>0.496</v>
      </c>
      <c r="N65" s="27">
        <f>SUM(N61:N64)</f>
        <v>0</v>
      </c>
      <c r="O65" s="27">
        <f>SUM(O61:O64)</f>
        <v>0</v>
      </c>
      <c r="P65" s="28">
        <f>SUM(P61:P64)</f>
        <v>0</v>
      </c>
    </row>
    <row r="66" spans="1:16" s="44" customFormat="1" ht="16.5" thickBot="1">
      <c r="A66" s="40">
        <f>9+9+6+9+4</f>
        <v>37</v>
      </c>
      <c r="B66" s="41" t="s">
        <v>79</v>
      </c>
      <c r="C66" s="42">
        <f>C12+C22+C29+C39+C44+C45+C46+C49+C55+C60+C65</f>
        <v>82.168</v>
      </c>
      <c r="D66" s="43">
        <f aca="true" t="shared" si="11" ref="D66:N66">D12+D22+D29+D39+D44+D45+D46+D49+D55+D60+D65</f>
        <v>35.472</v>
      </c>
      <c r="E66" s="42">
        <f>E12+E22+E29+E39+E44+E45+E46+E49+E55+E60+E65</f>
        <v>40.355999999999995</v>
      </c>
      <c r="F66" s="43">
        <f t="shared" si="11"/>
        <v>5.175</v>
      </c>
      <c r="G66" s="42">
        <f t="shared" si="11"/>
        <v>1215</v>
      </c>
      <c r="H66" s="42">
        <f t="shared" si="11"/>
        <v>230</v>
      </c>
      <c r="I66" s="42">
        <f t="shared" si="11"/>
        <v>4</v>
      </c>
      <c r="J66" s="43">
        <f t="shared" si="11"/>
        <v>122</v>
      </c>
      <c r="K66" s="43">
        <f t="shared" si="11"/>
        <v>357</v>
      </c>
      <c r="L66" s="43">
        <f t="shared" si="11"/>
        <v>6</v>
      </c>
      <c r="M66" s="43">
        <f t="shared" si="11"/>
        <v>121.18400000000001</v>
      </c>
      <c r="N66" s="43">
        <f t="shared" si="11"/>
        <v>1425</v>
      </c>
      <c r="O66" s="43">
        <f>O12+O22+O29+O39+O44+O45+O46+O49+O55+O60+O65</f>
        <v>40.647</v>
      </c>
      <c r="P66" s="43">
        <f>P12+P22+P29+P39+P44+P45+P46+P49+P55+P60+P65</f>
        <v>484</v>
      </c>
    </row>
    <row r="67" spans="2:15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  <c r="N67" s="45"/>
      <c r="O67" s="45"/>
    </row>
    <row r="68" spans="2:15" ht="12.75">
      <c r="B68" s="46" t="s">
        <v>82</v>
      </c>
      <c r="C68" s="45">
        <v>96.92</v>
      </c>
      <c r="D68" s="45"/>
      <c r="E68" s="45">
        <f>E66</f>
        <v>40.355999999999995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2:15" ht="12.75">
      <c r="B69" s="46" t="s">
        <v>81</v>
      </c>
      <c r="C69" s="45">
        <f>C68-C66</f>
        <v>14.751999999999995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</sheetData>
  <sheetProtection/>
  <mergeCells count="5">
    <mergeCell ref="O1:P1"/>
    <mergeCell ref="C1:F1"/>
    <mergeCell ref="G1:I1"/>
    <mergeCell ref="J1:L1"/>
    <mergeCell ref="M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="75" zoomScaleNormal="75" zoomScalePageLayoutView="0" workbookViewId="0" topLeftCell="A9">
      <selection activeCell="G16" sqref="G16"/>
    </sheetView>
  </sheetViews>
  <sheetFormatPr defaultColWidth="9.140625" defaultRowHeight="12.75"/>
  <cols>
    <col min="2" max="2" width="10.7109375" style="0" customWidth="1"/>
  </cols>
  <sheetData>
    <row r="1" spans="1:16" ht="12.75">
      <c r="A1" s="1"/>
      <c r="B1" s="2"/>
      <c r="C1" s="76" t="s">
        <v>0</v>
      </c>
      <c r="D1" s="76"/>
      <c r="E1" s="76"/>
      <c r="F1" s="76"/>
      <c r="G1" s="74" t="s">
        <v>1</v>
      </c>
      <c r="H1" s="77"/>
      <c r="I1" s="75"/>
      <c r="J1" s="74" t="s">
        <v>83</v>
      </c>
      <c r="K1" s="77"/>
      <c r="L1" s="75"/>
      <c r="M1" s="74" t="s">
        <v>3</v>
      </c>
      <c r="N1" s="75"/>
      <c r="O1" s="74" t="s">
        <v>4</v>
      </c>
      <c r="P1" s="75"/>
    </row>
    <row r="2" spans="1:16" ht="25.5">
      <c r="A2" s="2" t="s">
        <v>5</v>
      </c>
      <c r="B2" s="4" t="s">
        <v>6</v>
      </c>
      <c r="C2" s="5" t="s">
        <v>7</v>
      </c>
      <c r="D2" s="6" t="s">
        <v>8</v>
      </c>
      <c r="E2" s="5" t="s">
        <v>9</v>
      </c>
      <c r="F2" s="6" t="s">
        <v>10</v>
      </c>
      <c r="G2" s="5" t="s">
        <v>11</v>
      </c>
      <c r="H2" s="5" t="s">
        <v>12</v>
      </c>
      <c r="I2" s="5" t="s">
        <v>13</v>
      </c>
      <c r="J2" s="5" t="s">
        <v>11</v>
      </c>
      <c r="K2" s="5" t="s">
        <v>12</v>
      </c>
      <c r="L2" s="5" t="s">
        <v>13</v>
      </c>
      <c r="M2" s="7" t="s">
        <v>14</v>
      </c>
      <c r="N2" s="5" t="s">
        <v>15</v>
      </c>
      <c r="O2" s="7" t="s">
        <v>14</v>
      </c>
      <c r="P2" s="5" t="s">
        <v>15</v>
      </c>
    </row>
    <row r="3" spans="1:16" ht="12.75">
      <c r="A3" s="3">
        <v>1</v>
      </c>
      <c r="B3" s="8" t="s">
        <v>16</v>
      </c>
      <c r="C3" s="2">
        <v>0.34</v>
      </c>
      <c r="D3" s="2"/>
      <c r="E3" s="2">
        <v>0.35</v>
      </c>
      <c r="F3" s="2">
        <v>0.07</v>
      </c>
      <c r="G3" s="2">
        <v>6</v>
      </c>
      <c r="H3" s="2"/>
      <c r="I3" s="2"/>
      <c r="J3" s="2"/>
      <c r="K3" s="2"/>
      <c r="L3" s="2"/>
      <c r="M3" s="2">
        <f aca="true" t="shared" si="0" ref="M3:M44">C3+E3</f>
        <v>0.69</v>
      </c>
      <c r="N3" s="2">
        <f aca="true" t="shared" si="1" ref="N3:N43">G3+H3+I3</f>
        <v>6</v>
      </c>
      <c r="O3" s="2">
        <f aca="true" t="shared" si="2" ref="O3:O42">D3+F3</f>
        <v>0.07</v>
      </c>
      <c r="P3" s="2">
        <f aca="true" t="shared" si="3" ref="P3:P42">J3+K3+L3</f>
        <v>0</v>
      </c>
    </row>
    <row r="4" spans="1:16" ht="12.75">
      <c r="A4" s="3">
        <f aca="true" t="shared" si="4" ref="A4:A11">A3+1</f>
        <v>2</v>
      </c>
      <c r="B4" s="8" t="s">
        <v>17</v>
      </c>
      <c r="C4" s="54">
        <v>4.564</v>
      </c>
      <c r="D4" s="2">
        <v>0.135</v>
      </c>
      <c r="E4" s="48">
        <f>0.26*2+0.03</f>
        <v>0.55</v>
      </c>
      <c r="F4" s="2"/>
      <c r="G4" s="2">
        <v>72</v>
      </c>
      <c r="H4" s="2">
        <v>13</v>
      </c>
      <c r="I4" s="2"/>
      <c r="J4" s="2">
        <v>1</v>
      </c>
      <c r="K4" s="2">
        <v>1</v>
      </c>
      <c r="L4" s="2"/>
      <c r="M4" s="2">
        <f t="shared" si="0"/>
        <v>5.114</v>
      </c>
      <c r="N4" s="2">
        <f t="shared" si="1"/>
        <v>85</v>
      </c>
      <c r="O4" s="2">
        <f t="shared" si="2"/>
        <v>0.135</v>
      </c>
      <c r="P4" s="2">
        <f t="shared" si="3"/>
        <v>2</v>
      </c>
    </row>
    <row r="5" spans="1:16" ht="12.75">
      <c r="A5" s="3">
        <f t="shared" si="4"/>
        <v>3</v>
      </c>
      <c r="B5" s="8" t="s">
        <v>18</v>
      </c>
      <c r="C5" s="2">
        <v>1.481</v>
      </c>
      <c r="D5" s="2"/>
      <c r="E5" s="2">
        <f>0.245-0.18</f>
        <v>0.065</v>
      </c>
      <c r="F5" s="2">
        <f>0.08+0.18</f>
        <v>0.26</v>
      </c>
      <c r="G5" s="2">
        <v>3</v>
      </c>
      <c r="H5" s="2">
        <v>27</v>
      </c>
      <c r="I5" s="2"/>
      <c r="J5" s="2"/>
      <c r="K5" s="2"/>
      <c r="L5" s="2"/>
      <c r="M5" s="2">
        <f t="shared" si="0"/>
        <v>1.546</v>
      </c>
      <c r="N5" s="2">
        <f t="shared" si="1"/>
        <v>30</v>
      </c>
      <c r="O5" s="2">
        <f t="shared" si="2"/>
        <v>0.26</v>
      </c>
      <c r="P5" s="2">
        <f t="shared" si="3"/>
        <v>0</v>
      </c>
    </row>
    <row r="6" spans="1:16" ht="12.75">
      <c r="A6" s="3">
        <f t="shared" si="4"/>
        <v>4</v>
      </c>
      <c r="B6" s="8" t="s">
        <v>19</v>
      </c>
      <c r="C6" s="2">
        <v>1.238</v>
      </c>
      <c r="D6" s="2">
        <v>0.12</v>
      </c>
      <c r="E6" s="2"/>
      <c r="F6" s="2">
        <v>0.15</v>
      </c>
      <c r="G6" s="2">
        <v>19</v>
      </c>
      <c r="H6" s="2"/>
      <c r="I6" s="2"/>
      <c r="J6" s="2"/>
      <c r="K6" s="2"/>
      <c r="L6" s="2"/>
      <c r="M6" s="2">
        <f t="shared" si="0"/>
        <v>1.238</v>
      </c>
      <c r="N6" s="2">
        <f t="shared" si="1"/>
        <v>19</v>
      </c>
      <c r="O6" s="2">
        <f t="shared" si="2"/>
        <v>0.27</v>
      </c>
      <c r="P6" s="2">
        <f t="shared" si="3"/>
        <v>0</v>
      </c>
    </row>
    <row r="7" spans="1:16" ht="12.75">
      <c r="A7" s="3">
        <f t="shared" si="4"/>
        <v>5</v>
      </c>
      <c r="B7" s="8" t="s">
        <v>20</v>
      </c>
      <c r="C7" s="2">
        <v>1.545</v>
      </c>
      <c r="D7" s="2"/>
      <c r="E7" s="48">
        <f>0.02+0.16+0.12+0.8</f>
        <v>1.1</v>
      </c>
      <c r="F7" s="2">
        <v>0.15</v>
      </c>
      <c r="G7" s="2">
        <v>10</v>
      </c>
      <c r="H7" s="2">
        <v>1</v>
      </c>
      <c r="I7" s="2"/>
      <c r="J7" s="2"/>
      <c r="K7" s="2"/>
      <c r="L7" s="2"/>
      <c r="M7" s="2">
        <f t="shared" si="0"/>
        <v>2.645</v>
      </c>
      <c r="N7" s="2">
        <f t="shared" si="1"/>
        <v>11</v>
      </c>
      <c r="O7" s="2">
        <f t="shared" si="2"/>
        <v>0.15</v>
      </c>
      <c r="P7" s="2">
        <f t="shared" si="3"/>
        <v>0</v>
      </c>
    </row>
    <row r="8" spans="1:16" ht="12.75">
      <c r="A8" s="3">
        <f t="shared" si="4"/>
        <v>6</v>
      </c>
      <c r="B8" s="8" t="s">
        <v>21</v>
      </c>
      <c r="C8" s="2">
        <v>1.531</v>
      </c>
      <c r="D8" s="2">
        <v>0.06</v>
      </c>
      <c r="E8" s="48">
        <f>0.025+0.1+1+0.05</f>
        <v>1.175</v>
      </c>
      <c r="F8" s="2">
        <v>0.1</v>
      </c>
      <c r="G8" s="2">
        <v>33</v>
      </c>
      <c r="H8" s="2">
        <v>4</v>
      </c>
      <c r="I8" s="2">
        <v>2</v>
      </c>
      <c r="J8" s="2"/>
      <c r="K8" s="2">
        <v>1</v>
      </c>
      <c r="L8" s="2"/>
      <c r="M8" s="2">
        <f t="shared" si="0"/>
        <v>2.706</v>
      </c>
      <c r="N8" s="2">
        <f t="shared" si="1"/>
        <v>39</v>
      </c>
      <c r="O8" s="2">
        <f t="shared" si="2"/>
        <v>0.16</v>
      </c>
      <c r="P8" s="2">
        <f t="shared" si="3"/>
        <v>1</v>
      </c>
    </row>
    <row r="9" spans="1:16" ht="12.75">
      <c r="A9" s="3">
        <f t="shared" si="4"/>
        <v>7</v>
      </c>
      <c r="B9" s="8" t="s">
        <v>22</v>
      </c>
      <c r="C9" s="2">
        <f>2.199+0.133</f>
        <v>2.332</v>
      </c>
      <c r="D9" s="2">
        <v>0.01</v>
      </c>
      <c r="E9" s="2">
        <f>0.055+0.04</f>
        <v>0.095</v>
      </c>
      <c r="F9" s="2">
        <v>0.08</v>
      </c>
      <c r="G9" s="2">
        <f>29+2</f>
        <v>31</v>
      </c>
      <c r="H9" s="2">
        <v>13</v>
      </c>
      <c r="I9" s="2">
        <v>0</v>
      </c>
      <c r="J9" s="2"/>
      <c r="K9" s="2"/>
      <c r="L9" s="2"/>
      <c r="M9" s="2">
        <f t="shared" si="0"/>
        <v>2.427</v>
      </c>
      <c r="N9" s="2">
        <f t="shared" si="1"/>
        <v>44</v>
      </c>
      <c r="O9" s="2">
        <f t="shared" si="2"/>
        <v>0.09</v>
      </c>
      <c r="P9" s="2">
        <f t="shared" si="3"/>
        <v>0</v>
      </c>
    </row>
    <row r="10" spans="1:16" ht="12.75">
      <c r="A10" s="3">
        <f t="shared" si="4"/>
        <v>8</v>
      </c>
      <c r="B10" s="8" t="s">
        <v>23</v>
      </c>
      <c r="C10" s="2">
        <v>1.149</v>
      </c>
      <c r="D10" s="2"/>
      <c r="E10" s="2">
        <v>0.26</v>
      </c>
      <c r="F10" s="2"/>
      <c r="G10" s="2">
        <v>19</v>
      </c>
      <c r="H10" s="2"/>
      <c r="I10" s="2"/>
      <c r="J10" s="2"/>
      <c r="K10" s="2"/>
      <c r="L10" s="2"/>
      <c r="M10" s="2">
        <f t="shared" si="0"/>
        <v>1.409</v>
      </c>
      <c r="N10" s="2">
        <f t="shared" si="1"/>
        <v>19</v>
      </c>
      <c r="O10" s="2">
        <f t="shared" si="2"/>
        <v>0</v>
      </c>
      <c r="P10" s="2">
        <f t="shared" si="3"/>
        <v>0</v>
      </c>
    </row>
    <row r="11" spans="1:16" ht="13.5" thickBot="1">
      <c r="A11" s="9">
        <f t="shared" si="4"/>
        <v>9</v>
      </c>
      <c r="B11" s="10" t="s">
        <v>24</v>
      </c>
      <c r="C11" s="11">
        <v>1.338</v>
      </c>
      <c r="D11" s="11"/>
      <c r="E11" s="11">
        <v>0.26</v>
      </c>
      <c r="F11" s="11">
        <v>0.192</v>
      </c>
      <c r="G11" s="12">
        <v>20</v>
      </c>
      <c r="H11" s="11"/>
      <c r="I11" s="11"/>
      <c r="J11" s="11"/>
      <c r="K11" s="11"/>
      <c r="L11" s="11"/>
      <c r="M11" s="2">
        <f t="shared" si="0"/>
        <v>1.598</v>
      </c>
      <c r="N11" s="11">
        <f t="shared" si="1"/>
        <v>20</v>
      </c>
      <c r="O11" s="11">
        <f t="shared" si="2"/>
        <v>0.192</v>
      </c>
      <c r="P11" s="11">
        <f t="shared" si="3"/>
        <v>0</v>
      </c>
    </row>
    <row r="12" spans="1:16" s="13" customFormat="1" ht="15.75" thickBot="1">
      <c r="A12" s="37"/>
      <c r="B12" s="51" t="s">
        <v>25</v>
      </c>
      <c r="C12" s="52">
        <f aca="true" t="shared" si="5" ref="C12:L12">SUM(C3:C11)</f>
        <v>15.518</v>
      </c>
      <c r="D12" s="52">
        <f t="shared" si="5"/>
        <v>0.325</v>
      </c>
      <c r="E12" s="52">
        <f t="shared" si="5"/>
        <v>3.8550000000000004</v>
      </c>
      <c r="F12" s="52">
        <f t="shared" si="5"/>
        <v>1.002</v>
      </c>
      <c r="G12" s="52">
        <f t="shared" si="5"/>
        <v>213</v>
      </c>
      <c r="H12" s="52">
        <f t="shared" si="5"/>
        <v>58</v>
      </c>
      <c r="I12" s="52">
        <f t="shared" si="5"/>
        <v>2</v>
      </c>
      <c r="J12" s="52">
        <f t="shared" si="5"/>
        <v>1</v>
      </c>
      <c r="K12" s="52">
        <f t="shared" si="5"/>
        <v>2</v>
      </c>
      <c r="L12" s="52">
        <f t="shared" si="5"/>
        <v>0</v>
      </c>
      <c r="M12" s="27">
        <f t="shared" si="0"/>
        <v>19.373</v>
      </c>
      <c r="N12" s="27">
        <f t="shared" si="1"/>
        <v>273</v>
      </c>
      <c r="O12" s="27">
        <f t="shared" si="2"/>
        <v>1.327</v>
      </c>
      <c r="P12" s="28">
        <f t="shared" si="3"/>
        <v>3</v>
      </c>
    </row>
    <row r="13" spans="1:16" ht="12.75">
      <c r="A13" s="14">
        <v>1</v>
      </c>
      <c r="B13" s="15" t="s">
        <v>26</v>
      </c>
      <c r="C13" s="16">
        <v>2.964</v>
      </c>
      <c r="D13" s="16">
        <v>0.29</v>
      </c>
      <c r="E13" s="16">
        <f>0.176+0.05+0.025+0.413+0.035+0.238+0.2+0.31+0.25+0.046+0.24+0.135</f>
        <v>2.1180000000000003</v>
      </c>
      <c r="F13" s="16">
        <v>0.263</v>
      </c>
      <c r="G13" s="17">
        <v>57</v>
      </c>
      <c r="H13" s="17">
        <v>1</v>
      </c>
      <c r="I13" s="16"/>
      <c r="J13" s="16">
        <v>6</v>
      </c>
      <c r="K13" s="16"/>
      <c r="L13" s="16"/>
      <c r="M13" s="16">
        <f t="shared" si="0"/>
        <v>5.082000000000001</v>
      </c>
      <c r="N13" s="18">
        <f t="shared" si="1"/>
        <v>58</v>
      </c>
      <c r="O13" s="18">
        <f t="shared" si="2"/>
        <v>0.5529999999999999</v>
      </c>
      <c r="P13" s="18">
        <f t="shared" si="3"/>
        <v>6</v>
      </c>
    </row>
    <row r="14" spans="1:16" ht="12.75">
      <c r="A14" s="3">
        <f aca="true" t="shared" si="6" ref="A14:A21">A13+1</f>
        <v>2</v>
      </c>
      <c r="B14" s="8" t="s">
        <v>27</v>
      </c>
      <c r="C14" s="2">
        <v>3.62</v>
      </c>
      <c r="D14" s="2"/>
      <c r="E14" s="2">
        <f>0.03+0.05+0.06+0.009+0.01+0.135+0.04+0.01+0.011+0.32+0.22+0.19+0.215+0.3+0.1+0.18+0.29+0.08+0.12</f>
        <v>2.37</v>
      </c>
      <c r="F14" s="2">
        <v>0.08</v>
      </c>
      <c r="G14" s="2">
        <v>71</v>
      </c>
      <c r="H14" s="2"/>
      <c r="I14" s="2"/>
      <c r="J14" s="2"/>
      <c r="K14" s="2"/>
      <c r="L14" s="2"/>
      <c r="M14" s="2">
        <f t="shared" si="0"/>
        <v>5.99</v>
      </c>
      <c r="N14" s="11">
        <f t="shared" si="1"/>
        <v>71</v>
      </c>
      <c r="O14" s="11">
        <f t="shared" si="2"/>
        <v>0.08</v>
      </c>
      <c r="P14" s="11">
        <f t="shared" si="3"/>
        <v>0</v>
      </c>
    </row>
    <row r="15" spans="1:16" ht="12.75">
      <c r="A15" s="3">
        <f t="shared" si="6"/>
        <v>3</v>
      </c>
      <c r="B15" s="8" t="s">
        <v>28</v>
      </c>
      <c r="C15" s="2">
        <v>2.463</v>
      </c>
      <c r="D15" s="2">
        <v>0.26</v>
      </c>
      <c r="E15" s="2">
        <f>0.29+0.08+0.27+0.14+0.18+0.03+0.009+0.248+0.3+0.22+0.415+0.27+0.16+0.4+0.4+0.15+0.014</f>
        <v>3.5759999999999996</v>
      </c>
      <c r="F15" s="2">
        <v>0.58</v>
      </c>
      <c r="G15" s="2">
        <v>52</v>
      </c>
      <c r="H15" s="2"/>
      <c r="I15" s="2"/>
      <c r="J15" s="2">
        <v>4</v>
      </c>
      <c r="K15" s="2"/>
      <c r="L15" s="2"/>
      <c r="M15" s="2">
        <f t="shared" si="0"/>
        <v>6.039</v>
      </c>
      <c r="N15" s="11">
        <f t="shared" si="1"/>
        <v>52</v>
      </c>
      <c r="O15" s="11">
        <f t="shared" si="2"/>
        <v>0.84</v>
      </c>
      <c r="P15" s="11">
        <f t="shared" si="3"/>
        <v>4</v>
      </c>
    </row>
    <row r="16" spans="1:16" ht="12.75">
      <c r="A16" s="3">
        <f t="shared" si="6"/>
        <v>4</v>
      </c>
      <c r="B16" s="8" t="s">
        <v>29</v>
      </c>
      <c r="C16" s="54">
        <f>3.549+0.25-0.512+0.084+0.11+0.335+0.24+0.41</f>
        <v>4.466</v>
      </c>
      <c r="D16" s="2">
        <f>0.355-0.25</f>
        <v>0.10499999999999998</v>
      </c>
      <c r="E16" s="54">
        <f>0.406+0.31+0.07+0.2+0.02+0.375+0.25+0.56+0.39+0.31+0.05-0.125-0.17</f>
        <v>2.646</v>
      </c>
      <c r="F16" s="2">
        <v>0.09</v>
      </c>
      <c r="G16" s="54">
        <f>39-6+2+1+7+5</f>
        <v>48</v>
      </c>
      <c r="H16" s="19">
        <f>30-1</f>
        <v>29</v>
      </c>
      <c r="I16" s="2">
        <v>1</v>
      </c>
      <c r="J16" s="2">
        <v>1</v>
      </c>
      <c r="K16" s="2">
        <f>6-5</f>
        <v>1</v>
      </c>
      <c r="L16" s="2"/>
      <c r="M16" s="2">
        <f t="shared" si="0"/>
        <v>7.112</v>
      </c>
      <c r="N16" s="11">
        <f t="shared" si="1"/>
        <v>78</v>
      </c>
      <c r="O16" s="11">
        <f t="shared" si="2"/>
        <v>0.19499999999999998</v>
      </c>
      <c r="P16" s="11">
        <f t="shared" si="3"/>
        <v>2</v>
      </c>
    </row>
    <row r="17" spans="1:16" ht="12.75">
      <c r="A17" s="3">
        <f t="shared" si="6"/>
        <v>5</v>
      </c>
      <c r="B17" s="8" t="s">
        <v>30</v>
      </c>
      <c r="C17" s="2">
        <v>2.007</v>
      </c>
      <c r="D17" s="2"/>
      <c r="E17" s="54">
        <f>0.18+0.03+0.145+0.15+0.11+0.51+0.181</f>
        <v>1.306</v>
      </c>
      <c r="F17" s="2">
        <v>0.05</v>
      </c>
      <c r="G17" s="2">
        <v>43</v>
      </c>
      <c r="H17" s="2"/>
      <c r="I17" s="2"/>
      <c r="J17" s="2"/>
      <c r="K17" s="2"/>
      <c r="L17" s="2"/>
      <c r="M17" s="2">
        <f t="shared" si="0"/>
        <v>3.313</v>
      </c>
      <c r="N17" s="11">
        <f t="shared" si="1"/>
        <v>43</v>
      </c>
      <c r="O17" s="11">
        <f t="shared" si="2"/>
        <v>0.05</v>
      </c>
      <c r="P17" s="11">
        <f t="shared" si="3"/>
        <v>0</v>
      </c>
    </row>
    <row r="18" spans="1:16" ht="12.75">
      <c r="A18" s="3">
        <f t="shared" si="6"/>
        <v>6</v>
      </c>
      <c r="B18" s="8" t="s">
        <v>31</v>
      </c>
      <c r="C18" s="2">
        <v>1.912</v>
      </c>
      <c r="D18" s="2"/>
      <c r="E18" s="54">
        <f>0.03</f>
        <v>0.03</v>
      </c>
      <c r="F18" s="2"/>
      <c r="G18" s="2">
        <v>25</v>
      </c>
      <c r="H18" s="2"/>
      <c r="I18" s="2"/>
      <c r="J18" s="2"/>
      <c r="K18" s="2"/>
      <c r="L18" s="2"/>
      <c r="M18" s="2">
        <f t="shared" si="0"/>
        <v>1.942</v>
      </c>
      <c r="N18" s="11">
        <f t="shared" si="1"/>
        <v>25</v>
      </c>
      <c r="O18" s="11">
        <f t="shared" si="2"/>
        <v>0</v>
      </c>
      <c r="P18" s="11">
        <f t="shared" si="3"/>
        <v>0</v>
      </c>
    </row>
    <row r="19" spans="1:16" ht="12.75">
      <c r="A19" s="3">
        <f t="shared" si="6"/>
        <v>7</v>
      </c>
      <c r="B19" s="8" t="s">
        <v>32</v>
      </c>
      <c r="C19" s="2">
        <v>2.232</v>
      </c>
      <c r="D19" s="2"/>
      <c r="E19" s="54">
        <f>0.12+0.23+0.12+0.5+0.155</f>
        <v>1.125</v>
      </c>
      <c r="F19" s="2">
        <v>0.09</v>
      </c>
      <c r="G19" s="2">
        <v>51</v>
      </c>
      <c r="H19" s="2"/>
      <c r="I19" s="2"/>
      <c r="J19" s="2"/>
      <c r="K19" s="2"/>
      <c r="L19" s="2"/>
      <c r="M19" s="2">
        <f t="shared" si="0"/>
        <v>3.357</v>
      </c>
      <c r="N19" s="11">
        <f t="shared" si="1"/>
        <v>51</v>
      </c>
      <c r="O19" s="11">
        <f t="shared" si="2"/>
        <v>0.09</v>
      </c>
      <c r="P19" s="11">
        <f t="shared" si="3"/>
        <v>0</v>
      </c>
    </row>
    <row r="20" spans="1:16" ht="12.75">
      <c r="A20" s="3">
        <f t="shared" si="6"/>
        <v>8</v>
      </c>
      <c r="B20" s="8" t="s">
        <v>33</v>
      </c>
      <c r="C20" s="2"/>
      <c r="D20" s="2"/>
      <c r="E20" s="2">
        <v>1.27</v>
      </c>
      <c r="F20" s="2"/>
      <c r="G20" s="2"/>
      <c r="H20" s="2"/>
      <c r="I20" s="2"/>
      <c r="J20" s="2"/>
      <c r="K20" s="2"/>
      <c r="L20" s="2"/>
      <c r="M20" s="2">
        <f t="shared" si="0"/>
        <v>1.27</v>
      </c>
      <c r="N20" s="11">
        <f t="shared" si="1"/>
        <v>0</v>
      </c>
      <c r="O20" s="11">
        <f t="shared" si="2"/>
        <v>0</v>
      </c>
      <c r="P20" s="11">
        <f t="shared" si="3"/>
        <v>0</v>
      </c>
    </row>
    <row r="21" spans="1:16" ht="13.5" thickBot="1">
      <c r="A21" s="9">
        <f t="shared" si="6"/>
        <v>9</v>
      </c>
      <c r="B21" s="10" t="s">
        <v>34</v>
      </c>
      <c r="C21" s="11"/>
      <c r="D21" s="11"/>
      <c r="E21" s="11">
        <v>1.866</v>
      </c>
      <c r="F21" s="11"/>
      <c r="G21" s="11"/>
      <c r="H21" s="11"/>
      <c r="I21" s="11"/>
      <c r="J21" s="11"/>
      <c r="K21" s="11"/>
      <c r="L21" s="11"/>
      <c r="M21" s="11">
        <f t="shared" si="0"/>
        <v>1.866</v>
      </c>
      <c r="N21" s="11">
        <f t="shared" si="1"/>
        <v>0</v>
      </c>
      <c r="O21" s="11">
        <f t="shared" si="2"/>
        <v>0</v>
      </c>
      <c r="P21" s="11">
        <f t="shared" si="3"/>
        <v>0</v>
      </c>
    </row>
    <row r="22" spans="1:16" s="24" customFormat="1" ht="15.75" thickBot="1">
      <c r="A22" s="20"/>
      <c r="B22" s="21" t="s">
        <v>35</v>
      </c>
      <c r="C22" s="22">
        <f aca="true" t="shared" si="7" ref="C22:L22">SUM(C13:C21)</f>
        <v>19.664</v>
      </c>
      <c r="D22" s="22">
        <f t="shared" si="7"/>
        <v>0.655</v>
      </c>
      <c r="E22" s="55">
        <f t="shared" si="7"/>
        <v>16.307000000000002</v>
      </c>
      <c r="F22" s="22">
        <f t="shared" si="7"/>
        <v>1.1530000000000002</v>
      </c>
      <c r="G22" s="22">
        <f t="shared" si="7"/>
        <v>347</v>
      </c>
      <c r="H22" s="22">
        <f t="shared" si="7"/>
        <v>30</v>
      </c>
      <c r="I22" s="22">
        <f t="shared" si="7"/>
        <v>1</v>
      </c>
      <c r="J22" s="22">
        <f t="shared" si="7"/>
        <v>11</v>
      </c>
      <c r="K22" s="22">
        <f t="shared" si="7"/>
        <v>1</v>
      </c>
      <c r="L22" s="22">
        <f t="shared" si="7"/>
        <v>0</v>
      </c>
      <c r="M22" s="22">
        <f t="shared" si="0"/>
        <v>35.971000000000004</v>
      </c>
      <c r="N22" s="22">
        <f t="shared" si="1"/>
        <v>378</v>
      </c>
      <c r="O22" s="22">
        <f t="shared" si="2"/>
        <v>1.8080000000000003</v>
      </c>
      <c r="P22" s="23">
        <f t="shared" si="3"/>
        <v>12</v>
      </c>
    </row>
    <row r="23" spans="1:16" ht="12.75">
      <c r="A23" s="14">
        <v>1</v>
      </c>
      <c r="B23" s="15" t="s">
        <v>36</v>
      </c>
      <c r="C23" s="16">
        <v>8.316</v>
      </c>
      <c r="D23" s="16"/>
      <c r="E23" s="56">
        <f>0.1+0.02+0.07</f>
        <v>0.19</v>
      </c>
      <c r="F23" s="16">
        <v>0.15</v>
      </c>
      <c r="G23" s="16">
        <f>96+9+2+1+4</f>
        <v>112</v>
      </c>
      <c r="H23" s="16">
        <f>45-9-2-1-4-1</f>
        <v>28</v>
      </c>
      <c r="I23" s="16"/>
      <c r="J23" s="16"/>
      <c r="K23" s="16"/>
      <c r="L23" s="16"/>
      <c r="M23" s="16">
        <f t="shared" si="0"/>
        <v>8.506</v>
      </c>
      <c r="N23" s="18">
        <f t="shared" si="1"/>
        <v>140</v>
      </c>
      <c r="O23" s="18">
        <f t="shared" si="2"/>
        <v>0.15</v>
      </c>
      <c r="P23" s="18">
        <f t="shared" si="3"/>
        <v>0</v>
      </c>
    </row>
    <row r="24" spans="1:16" ht="12.75">
      <c r="A24" s="3">
        <v>2</v>
      </c>
      <c r="B24" s="8" t="s">
        <v>37</v>
      </c>
      <c r="C24" s="2">
        <v>5.208</v>
      </c>
      <c r="D24" s="2"/>
      <c r="E24" s="54">
        <f>0.1+0.09+0.07+0.15+0.02+0.447</f>
        <v>0.877</v>
      </c>
      <c r="F24" s="2"/>
      <c r="G24" s="2">
        <f>97+4</f>
        <v>101</v>
      </c>
      <c r="H24" s="2">
        <f>3-3</f>
        <v>0</v>
      </c>
      <c r="I24" s="2">
        <f>1-1</f>
        <v>0</v>
      </c>
      <c r="J24" s="2"/>
      <c r="K24" s="2"/>
      <c r="L24" s="2"/>
      <c r="M24" s="2">
        <f t="shared" si="0"/>
        <v>6.085</v>
      </c>
      <c r="N24" s="11">
        <f t="shared" si="1"/>
        <v>101</v>
      </c>
      <c r="O24" s="11">
        <f t="shared" si="2"/>
        <v>0</v>
      </c>
      <c r="P24" s="11">
        <f t="shared" si="3"/>
        <v>0</v>
      </c>
    </row>
    <row r="25" spans="1:16" ht="12.75">
      <c r="A25" s="3">
        <v>3</v>
      </c>
      <c r="B25" s="8" t="s">
        <v>38</v>
      </c>
      <c r="C25" s="2">
        <f>11.951+1</f>
        <v>12.951</v>
      </c>
      <c r="D25" s="2">
        <f>3.618-1</f>
        <v>2.618</v>
      </c>
      <c r="E25" s="54">
        <f>0.08+0.027+0.08+0.25+0.07+0.135</f>
        <v>0.642</v>
      </c>
      <c r="F25" s="2">
        <v>0.1</v>
      </c>
      <c r="G25" s="19">
        <f>130+1+3+5+9+1+1+3+2+4</f>
        <v>159</v>
      </c>
      <c r="H25" s="19">
        <f>71-3-5-9-1-1-3-7+12</f>
        <v>54</v>
      </c>
      <c r="I25" s="2">
        <f>2-2</f>
        <v>0</v>
      </c>
      <c r="J25" s="2"/>
      <c r="K25" s="2">
        <f>72-12</f>
        <v>60</v>
      </c>
      <c r="L25" s="2"/>
      <c r="M25" s="2">
        <f t="shared" si="0"/>
        <v>13.593</v>
      </c>
      <c r="N25" s="11">
        <f t="shared" si="1"/>
        <v>213</v>
      </c>
      <c r="O25" s="11">
        <f t="shared" si="2"/>
        <v>2.718</v>
      </c>
      <c r="P25" s="11">
        <f t="shared" si="3"/>
        <v>60</v>
      </c>
    </row>
    <row r="26" spans="1:16" ht="12.75">
      <c r="A26" s="3">
        <v>4</v>
      </c>
      <c r="B26" s="8" t="s">
        <v>39</v>
      </c>
      <c r="C26" s="2">
        <v>0.534</v>
      </c>
      <c r="D26" s="2">
        <v>0.578</v>
      </c>
      <c r="E26" s="2">
        <v>0.02</v>
      </c>
      <c r="F26" s="2">
        <v>0.22</v>
      </c>
      <c r="G26" s="2">
        <v>11</v>
      </c>
      <c r="H26" s="2"/>
      <c r="I26" s="2"/>
      <c r="J26" s="2">
        <v>10</v>
      </c>
      <c r="K26" s="54">
        <v>2</v>
      </c>
      <c r="L26" s="2"/>
      <c r="M26" s="2">
        <f t="shared" si="0"/>
        <v>0.554</v>
      </c>
      <c r="N26" s="11">
        <f t="shared" si="1"/>
        <v>11</v>
      </c>
      <c r="O26" s="11">
        <f t="shared" si="2"/>
        <v>0.7979999999999999</v>
      </c>
      <c r="P26" s="11">
        <f t="shared" si="3"/>
        <v>12</v>
      </c>
    </row>
    <row r="27" spans="1:16" ht="12.75">
      <c r="A27" s="3">
        <v>5</v>
      </c>
      <c r="B27" s="8" t="s">
        <v>40</v>
      </c>
      <c r="C27" s="54">
        <f>2.3+0.41</f>
        <v>2.71</v>
      </c>
      <c r="D27" s="54">
        <f>15.25-0.41</f>
        <v>14.84</v>
      </c>
      <c r="E27" s="54">
        <f>0.14+0.05+0.009+0.19+0.03</f>
        <v>0.41900000000000004</v>
      </c>
      <c r="F27" s="54">
        <f>0.15+0.08+0.03+0.07+0.015+0.02+0.045+0.19+0.03-0.19-0.03</f>
        <v>0.41000000000000014</v>
      </c>
      <c r="G27" s="2">
        <f>19+10+1+1+4</f>
        <v>35</v>
      </c>
      <c r="H27" s="54">
        <f>6+10</f>
        <v>16</v>
      </c>
      <c r="I27" s="58">
        <v>1</v>
      </c>
      <c r="J27" s="2">
        <f>1+61+5+5+4+2+2+1+1</f>
        <v>82</v>
      </c>
      <c r="K27" s="54">
        <f>139-10</f>
        <v>129</v>
      </c>
      <c r="L27" s="2"/>
      <c r="M27" s="2">
        <f t="shared" si="0"/>
        <v>3.129</v>
      </c>
      <c r="N27" s="11">
        <f t="shared" si="1"/>
        <v>52</v>
      </c>
      <c r="O27" s="11">
        <f t="shared" si="2"/>
        <v>15.25</v>
      </c>
      <c r="P27" s="11">
        <f t="shared" si="3"/>
        <v>211</v>
      </c>
    </row>
    <row r="28" spans="1:16" ht="13.5" thickBot="1">
      <c r="A28" s="9">
        <v>6</v>
      </c>
      <c r="B28" s="10" t="s">
        <v>41</v>
      </c>
      <c r="C28" s="12">
        <f>8.81+0.11</f>
        <v>8.92</v>
      </c>
      <c r="D28" s="11">
        <f>15.416+0.48</f>
        <v>15.896</v>
      </c>
      <c r="E28" s="12">
        <f>0.14+0.15+0.035</f>
        <v>0.32500000000000007</v>
      </c>
      <c r="F28" s="11">
        <f>0.15+0.76+0.3+0.15+0.05+0.22</f>
        <v>1.63</v>
      </c>
      <c r="G28" s="12">
        <f>68+20+9+2</f>
        <v>99</v>
      </c>
      <c r="H28" s="11">
        <f>42-20</f>
        <v>22</v>
      </c>
      <c r="I28" s="11"/>
      <c r="J28" s="11">
        <f>1+2+5+1</f>
        <v>9</v>
      </c>
      <c r="K28" s="11">
        <f>140+13+7</f>
        <v>160</v>
      </c>
      <c r="L28" s="11">
        <f>1+3+1</f>
        <v>5</v>
      </c>
      <c r="M28" s="11">
        <f t="shared" si="0"/>
        <v>9.245</v>
      </c>
      <c r="N28" s="11">
        <f t="shared" si="1"/>
        <v>121</v>
      </c>
      <c r="O28" s="11">
        <f t="shared" si="2"/>
        <v>17.526</v>
      </c>
      <c r="P28" s="11">
        <f t="shared" si="3"/>
        <v>174</v>
      </c>
    </row>
    <row r="29" spans="1:16" s="13" customFormat="1" ht="15.75" thickBot="1">
      <c r="A29" s="25"/>
      <c r="B29" s="26" t="s">
        <v>42</v>
      </c>
      <c r="C29" s="27">
        <f aca="true" t="shared" si="8" ref="C29:L29">SUM(C23:C28)</f>
        <v>38.639</v>
      </c>
      <c r="D29" s="27">
        <f t="shared" si="8"/>
        <v>33.932</v>
      </c>
      <c r="E29" s="57">
        <f t="shared" si="8"/>
        <v>2.4730000000000003</v>
      </c>
      <c r="F29" s="27">
        <f t="shared" si="8"/>
        <v>2.51</v>
      </c>
      <c r="G29" s="27">
        <f t="shared" si="8"/>
        <v>517</v>
      </c>
      <c r="H29" s="27">
        <f t="shared" si="8"/>
        <v>120</v>
      </c>
      <c r="I29" s="27">
        <f t="shared" si="8"/>
        <v>1</v>
      </c>
      <c r="J29" s="27">
        <f t="shared" si="8"/>
        <v>101</v>
      </c>
      <c r="K29" s="27">
        <f t="shared" si="8"/>
        <v>351</v>
      </c>
      <c r="L29" s="27">
        <f t="shared" si="8"/>
        <v>5</v>
      </c>
      <c r="M29" s="27">
        <f t="shared" si="0"/>
        <v>41.112</v>
      </c>
      <c r="N29" s="27">
        <f t="shared" si="1"/>
        <v>638</v>
      </c>
      <c r="O29" s="27">
        <f t="shared" si="2"/>
        <v>36.442</v>
      </c>
      <c r="P29" s="28">
        <f t="shared" si="3"/>
        <v>457</v>
      </c>
    </row>
    <row r="30" spans="1:16" ht="12.75">
      <c r="A30" s="14">
        <v>1</v>
      </c>
      <c r="B30" s="15" t="s">
        <v>43</v>
      </c>
      <c r="C30" s="16"/>
      <c r="D30" s="16"/>
      <c r="E30" s="56">
        <f>2.38+0.25+0.3</f>
        <v>2.9299999999999997</v>
      </c>
      <c r="F30" s="16"/>
      <c r="G30" s="16"/>
      <c r="H30" s="16"/>
      <c r="I30" s="16"/>
      <c r="J30" s="16"/>
      <c r="K30" s="16"/>
      <c r="L30" s="16"/>
      <c r="M30" s="18">
        <f t="shared" si="0"/>
        <v>2.9299999999999997</v>
      </c>
      <c r="N30" s="18">
        <f t="shared" si="1"/>
        <v>0</v>
      </c>
      <c r="O30" s="18">
        <f t="shared" si="2"/>
        <v>0</v>
      </c>
      <c r="P30" s="18">
        <f t="shared" si="3"/>
        <v>0</v>
      </c>
    </row>
    <row r="31" spans="1:16" ht="12.75">
      <c r="A31" s="3">
        <v>2</v>
      </c>
      <c r="B31" s="8" t="s">
        <v>44</v>
      </c>
      <c r="C31" s="2"/>
      <c r="D31" s="2"/>
      <c r="E31" s="56">
        <f>2.38+0.25+0.3</f>
        <v>2.9299999999999997</v>
      </c>
      <c r="F31" s="2"/>
      <c r="G31" s="2"/>
      <c r="H31" s="2"/>
      <c r="I31" s="2"/>
      <c r="J31" s="2"/>
      <c r="K31" s="2"/>
      <c r="L31" s="2"/>
      <c r="M31" s="2">
        <f t="shared" si="0"/>
        <v>2.9299999999999997</v>
      </c>
      <c r="N31" s="11">
        <f t="shared" si="1"/>
        <v>0</v>
      </c>
      <c r="O31" s="11">
        <f t="shared" si="2"/>
        <v>0</v>
      </c>
      <c r="P31" s="11">
        <f t="shared" si="3"/>
        <v>0</v>
      </c>
    </row>
    <row r="32" spans="1:16" ht="12.75">
      <c r="A32" s="3">
        <v>3</v>
      </c>
      <c r="B32" s="8" t="s">
        <v>45</v>
      </c>
      <c r="C32" s="2"/>
      <c r="D32" s="2"/>
      <c r="E32" s="2">
        <v>1.235</v>
      </c>
      <c r="F32" s="2"/>
      <c r="G32" s="2"/>
      <c r="H32" s="2"/>
      <c r="I32" s="2"/>
      <c r="J32" s="2"/>
      <c r="K32" s="2"/>
      <c r="L32" s="2"/>
      <c r="M32" s="2">
        <f t="shared" si="0"/>
        <v>1.235</v>
      </c>
      <c r="N32" s="11">
        <f t="shared" si="1"/>
        <v>0</v>
      </c>
      <c r="O32" s="11">
        <f t="shared" si="2"/>
        <v>0</v>
      </c>
      <c r="P32" s="11">
        <f t="shared" si="3"/>
        <v>0</v>
      </c>
    </row>
    <row r="33" spans="1:16" ht="12.75">
      <c r="A33" s="3">
        <v>4</v>
      </c>
      <c r="B33" s="8" t="s">
        <v>46</v>
      </c>
      <c r="C33" s="2"/>
      <c r="D33" s="2"/>
      <c r="E33" s="2">
        <v>1.235</v>
      </c>
      <c r="F33" s="2"/>
      <c r="G33" s="2"/>
      <c r="H33" s="2"/>
      <c r="I33" s="2"/>
      <c r="J33" s="2"/>
      <c r="K33" s="2"/>
      <c r="L33" s="2"/>
      <c r="M33" s="2">
        <f t="shared" si="0"/>
        <v>1.235</v>
      </c>
      <c r="N33" s="11">
        <f t="shared" si="1"/>
        <v>0</v>
      </c>
      <c r="O33" s="11">
        <f t="shared" si="2"/>
        <v>0</v>
      </c>
      <c r="P33" s="11">
        <f t="shared" si="3"/>
        <v>0</v>
      </c>
    </row>
    <row r="34" spans="1:16" ht="12.75">
      <c r="A34" s="3">
        <v>5</v>
      </c>
      <c r="B34" s="8" t="s">
        <v>47</v>
      </c>
      <c r="C34" s="2"/>
      <c r="D34" s="2"/>
      <c r="E34" s="2">
        <v>0.46</v>
      </c>
      <c r="F34" s="2"/>
      <c r="G34" s="2"/>
      <c r="H34" s="2"/>
      <c r="I34" s="2"/>
      <c r="J34" s="2"/>
      <c r="K34" s="2"/>
      <c r="L34" s="2"/>
      <c r="M34" s="2">
        <f t="shared" si="0"/>
        <v>0.46</v>
      </c>
      <c r="N34" s="11">
        <f t="shared" si="1"/>
        <v>0</v>
      </c>
      <c r="O34" s="11">
        <f t="shared" si="2"/>
        <v>0</v>
      </c>
      <c r="P34" s="11">
        <f t="shared" si="3"/>
        <v>0</v>
      </c>
    </row>
    <row r="35" spans="1:16" ht="12.75">
      <c r="A35" s="3">
        <v>6</v>
      </c>
      <c r="B35" s="8" t="s">
        <v>48</v>
      </c>
      <c r="C35" s="2"/>
      <c r="D35" s="2"/>
      <c r="E35" s="54">
        <f>0.95+0.2</f>
        <v>1.15</v>
      </c>
      <c r="F35" s="2"/>
      <c r="G35" s="2"/>
      <c r="H35" s="2"/>
      <c r="I35" s="2"/>
      <c r="J35" s="2"/>
      <c r="K35" s="2"/>
      <c r="L35" s="2"/>
      <c r="M35" s="2">
        <f t="shared" si="0"/>
        <v>1.15</v>
      </c>
      <c r="N35" s="11">
        <f t="shared" si="1"/>
        <v>0</v>
      </c>
      <c r="O35" s="11">
        <f t="shared" si="2"/>
        <v>0</v>
      </c>
      <c r="P35" s="11">
        <f t="shared" si="3"/>
        <v>0</v>
      </c>
    </row>
    <row r="36" spans="1:16" ht="12.75">
      <c r="A36" s="3">
        <v>7</v>
      </c>
      <c r="B36" s="8" t="s">
        <v>49</v>
      </c>
      <c r="C36" s="2">
        <v>3.62</v>
      </c>
      <c r="D36" s="2">
        <v>0.45</v>
      </c>
      <c r="E36" s="54">
        <f>0.075+0.07+0.06+0.3+0.036+0.062+0.438</f>
        <v>1.041</v>
      </c>
      <c r="F36" s="2">
        <v>0.138</v>
      </c>
      <c r="G36" s="2">
        <v>67</v>
      </c>
      <c r="H36" s="2">
        <v>4</v>
      </c>
      <c r="I36" s="2"/>
      <c r="J36" s="2">
        <v>9</v>
      </c>
      <c r="K36" s="2"/>
      <c r="L36" s="2"/>
      <c r="M36" s="2">
        <f t="shared" si="0"/>
        <v>4.661</v>
      </c>
      <c r="N36" s="11">
        <f t="shared" si="1"/>
        <v>71</v>
      </c>
      <c r="O36" s="11">
        <f t="shared" si="2"/>
        <v>0.5880000000000001</v>
      </c>
      <c r="P36" s="11">
        <f t="shared" si="3"/>
        <v>9</v>
      </c>
    </row>
    <row r="37" spans="1:16" ht="12.75">
      <c r="A37" s="3">
        <v>8</v>
      </c>
      <c r="B37" s="8" t="s">
        <v>50</v>
      </c>
      <c r="C37" s="2"/>
      <c r="D37" s="2"/>
      <c r="E37" s="2">
        <v>0.49</v>
      </c>
      <c r="F37" s="2"/>
      <c r="G37" s="2"/>
      <c r="H37" s="2"/>
      <c r="I37" s="2"/>
      <c r="J37" s="2"/>
      <c r="K37" s="2"/>
      <c r="L37" s="2"/>
      <c r="M37" s="2">
        <f t="shared" si="0"/>
        <v>0.49</v>
      </c>
      <c r="N37" s="11">
        <f t="shared" si="1"/>
        <v>0</v>
      </c>
      <c r="O37" s="11">
        <f t="shared" si="2"/>
        <v>0</v>
      </c>
      <c r="P37" s="11">
        <f t="shared" si="3"/>
        <v>0</v>
      </c>
    </row>
    <row r="38" spans="1:16" ht="13.5" thickBot="1">
      <c r="A38" s="9">
        <v>9</v>
      </c>
      <c r="B38" s="10" t="s">
        <v>51</v>
      </c>
      <c r="C38" s="11">
        <v>0.41</v>
      </c>
      <c r="D38" s="11">
        <v>0.11</v>
      </c>
      <c r="E38" s="11">
        <v>1.148</v>
      </c>
      <c r="F38" s="11"/>
      <c r="G38" s="11">
        <v>8</v>
      </c>
      <c r="H38" s="11"/>
      <c r="I38" s="11"/>
      <c r="J38" s="11"/>
      <c r="K38" s="11">
        <v>3</v>
      </c>
      <c r="L38" s="11"/>
      <c r="M38" s="18">
        <f t="shared" si="0"/>
        <v>1.5579999999999998</v>
      </c>
      <c r="N38" s="11">
        <f t="shared" si="1"/>
        <v>8</v>
      </c>
      <c r="O38" s="11">
        <f t="shared" si="2"/>
        <v>0.11</v>
      </c>
      <c r="P38" s="11">
        <f t="shared" si="3"/>
        <v>3</v>
      </c>
    </row>
    <row r="39" spans="1:16" s="13" customFormat="1" ht="15.75" thickBot="1">
      <c r="A39" s="25"/>
      <c r="B39" s="26" t="s">
        <v>52</v>
      </c>
      <c r="C39" s="27">
        <f aca="true" t="shared" si="9" ref="C39:L39">SUM(C30:C38)</f>
        <v>4.03</v>
      </c>
      <c r="D39" s="27">
        <f t="shared" si="9"/>
        <v>0.56</v>
      </c>
      <c r="E39" s="57">
        <f t="shared" si="9"/>
        <v>12.619000000000002</v>
      </c>
      <c r="F39" s="27">
        <f t="shared" si="9"/>
        <v>0.138</v>
      </c>
      <c r="G39" s="27">
        <f t="shared" si="9"/>
        <v>75</v>
      </c>
      <c r="H39" s="27">
        <f t="shared" si="9"/>
        <v>4</v>
      </c>
      <c r="I39" s="27">
        <f t="shared" si="9"/>
        <v>0</v>
      </c>
      <c r="J39" s="27">
        <f t="shared" si="9"/>
        <v>9</v>
      </c>
      <c r="K39" s="27">
        <f t="shared" si="9"/>
        <v>3</v>
      </c>
      <c r="L39" s="27">
        <f t="shared" si="9"/>
        <v>0</v>
      </c>
      <c r="M39" s="27">
        <f t="shared" si="0"/>
        <v>16.649</v>
      </c>
      <c r="N39" s="27">
        <f t="shared" si="1"/>
        <v>79</v>
      </c>
      <c r="O39" s="27">
        <f t="shared" si="2"/>
        <v>0.6980000000000001</v>
      </c>
      <c r="P39" s="28">
        <f t="shared" si="3"/>
        <v>12</v>
      </c>
    </row>
    <row r="40" spans="1:16" ht="12.75">
      <c r="A40" s="14">
        <v>1</v>
      </c>
      <c r="B40" s="15" t="s">
        <v>53</v>
      </c>
      <c r="C40" s="16">
        <v>0.16</v>
      </c>
      <c r="D40" s="16"/>
      <c r="E40" s="56">
        <f>0.1+0.2+0.05+0.06+0.052</f>
        <v>0.462</v>
      </c>
      <c r="F40" s="16"/>
      <c r="G40" s="16">
        <v>3</v>
      </c>
      <c r="H40" s="16"/>
      <c r="I40" s="16"/>
      <c r="J40" s="16"/>
      <c r="K40" s="16"/>
      <c r="L40" s="16"/>
      <c r="M40" s="18">
        <f t="shared" si="0"/>
        <v>0.622</v>
      </c>
      <c r="N40" s="18">
        <f t="shared" si="1"/>
        <v>3</v>
      </c>
      <c r="O40" s="18">
        <f t="shared" si="2"/>
        <v>0</v>
      </c>
      <c r="P40" s="18">
        <f t="shared" si="3"/>
        <v>0</v>
      </c>
    </row>
    <row r="41" spans="1:16" ht="12.75">
      <c r="A41" s="3">
        <v>2</v>
      </c>
      <c r="B41" s="8" t="s">
        <v>54</v>
      </c>
      <c r="C41" s="2">
        <v>0.839</v>
      </c>
      <c r="D41" s="2"/>
      <c r="E41" s="54">
        <f>0.06+0.052</f>
        <v>0.11199999999999999</v>
      </c>
      <c r="F41" s="2"/>
      <c r="G41" s="2">
        <v>17</v>
      </c>
      <c r="H41" s="2"/>
      <c r="I41" s="2"/>
      <c r="J41" s="2"/>
      <c r="K41" s="2"/>
      <c r="L41" s="2"/>
      <c r="M41" s="2">
        <f t="shared" si="0"/>
        <v>0.951</v>
      </c>
      <c r="N41" s="11">
        <f t="shared" si="1"/>
        <v>17</v>
      </c>
      <c r="O41" s="11">
        <f t="shared" si="2"/>
        <v>0</v>
      </c>
      <c r="P41" s="11">
        <f t="shared" si="3"/>
        <v>0</v>
      </c>
    </row>
    <row r="42" spans="1:16" ht="12.75">
      <c r="A42" s="3">
        <v>3</v>
      </c>
      <c r="B42" s="8" t="s">
        <v>55</v>
      </c>
      <c r="C42" s="2">
        <f>2.468+0.1</f>
        <v>2.568</v>
      </c>
      <c r="D42" s="2"/>
      <c r="E42" s="54">
        <f>0.125+0.21+0.065+0.244+0.045+0.545+0.5</f>
        <v>1.734</v>
      </c>
      <c r="F42" s="2"/>
      <c r="G42" s="2">
        <f>32+2</f>
        <v>34</v>
      </c>
      <c r="H42" s="2"/>
      <c r="I42" s="2"/>
      <c r="J42" s="2"/>
      <c r="K42" s="2"/>
      <c r="L42" s="2"/>
      <c r="M42" s="2">
        <f t="shared" si="0"/>
        <v>4.302</v>
      </c>
      <c r="N42" s="11">
        <f t="shared" si="1"/>
        <v>34</v>
      </c>
      <c r="O42" s="11">
        <f t="shared" si="2"/>
        <v>0</v>
      </c>
      <c r="P42" s="11">
        <f t="shared" si="3"/>
        <v>0</v>
      </c>
    </row>
    <row r="43" spans="1:16" ht="13.5" thickBot="1">
      <c r="A43" s="9">
        <v>4</v>
      </c>
      <c r="B43" s="10" t="s">
        <v>56</v>
      </c>
      <c r="C43" s="11">
        <v>0.15</v>
      </c>
      <c r="D43" s="11"/>
      <c r="E43" s="11">
        <f>0.105+0.055</f>
        <v>0.16</v>
      </c>
      <c r="F43" s="11"/>
      <c r="G43" s="11">
        <v>4</v>
      </c>
      <c r="H43" s="11"/>
      <c r="I43" s="11"/>
      <c r="J43" s="11"/>
      <c r="K43" s="11"/>
      <c r="L43" s="11"/>
      <c r="M43" s="18">
        <f t="shared" si="0"/>
        <v>0.31</v>
      </c>
      <c r="N43" s="29">
        <f t="shared" si="1"/>
        <v>4</v>
      </c>
      <c r="O43" s="29"/>
      <c r="P43" s="29"/>
    </row>
    <row r="44" spans="1:16" s="24" customFormat="1" ht="15.75" thickBot="1">
      <c r="A44" s="30"/>
      <c r="B44" s="22" t="s">
        <v>57</v>
      </c>
      <c r="C44" s="22">
        <f aca="true" t="shared" si="10" ref="C44:L44">SUM(C40:C43)</f>
        <v>3.717</v>
      </c>
      <c r="D44" s="22">
        <f t="shared" si="10"/>
        <v>0</v>
      </c>
      <c r="E44" s="55">
        <f t="shared" si="10"/>
        <v>2.468</v>
      </c>
      <c r="F44" s="22">
        <f t="shared" si="10"/>
        <v>0</v>
      </c>
      <c r="G44" s="22">
        <f t="shared" si="10"/>
        <v>58</v>
      </c>
      <c r="H44" s="22">
        <f t="shared" si="10"/>
        <v>0</v>
      </c>
      <c r="I44" s="22">
        <f t="shared" si="10"/>
        <v>0</v>
      </c>
      <c r="J44" s="22">
        <f t="shared" si="10"/>
        <v>0</v>
      </c>
      <c r="K44" s="22">
        <f t="shared" si="10"/>
        <v>0</v>
      </c>
      <c r="L44" s="22">
        <f t="shared" si="10"/>
        <v>0</v>
      </c>
      <c r="M44" s="22">
        <f t="shared" si="0"/>
        <v>6.1850000000000005</v>
      </c>
      <c r="N44" s="22">
        <f>SUM(N40:N43)</f>
        <v>58</v>
      </c>
      <c r="O44" s="22">
        <f>SUM(O40:O43)</f>
        <v>0</v>
      </c>
      <c r="P44" s="23">
        <f>SUM(P40:P43)</f>
        <v>0</v>
      </c>
    </row>
    <row r="45" spans="1:16" s="24" customFormat="1" ht="15.75" thickBot="1">
      <c r="A45" s="30"/>
      <c r="B45" s="22" t="s">
        <v>58</v>
      </c>
      <c r="C45" s="22">
        <v>0.85</v>
      </c>
      <c r="D45" s="22"/>
      <c r="E45" s="22">
        <v>0.23</v>
      </c>
      <c r="F45" s="22"/>
      <c r="G45" s="22">
        <v>8</v>
      </c>
      <c r="H45" s="22">
        <v>9</v>
      </c>
      <c r="I45" s="22"/>
      <c r="J45" s="22"/>
      <c r="K45" s="22"/>
      <c r="L45" s="22">
        <v>1</v>
      </c>
      <c r="M45" s="22"/>
      <c r="N45" s="22"/>
      <c r="O45" s="31"/>
      <c r="P45" s="32"/>
    </row>
    <row r="46" spans="1:16" s="24" customFormat="1" ht="15.75" thickBot="1">
      <c r="A46" s="30"/>
      <c r="B46" s="22" t="s">
        <v>59</v>
      </c>
      <c r="C46" s="22">
        <v>0.4</v>
      </c>
      <c r="D46" s="22"/>
      <c r="E46" s="22">
        <v>0.015</v>
      </c>
      <c r="F46" s="22"/>
      <c r="G46" s="22"/>
      <c r="H46" s="22">
        <v>7</v>
      </c>
      <c r="I46" s="22"/>
      <c r="J46" s="22"/>
      <c r="K46" s="22"/>
      <c r="L46" s="22"/>
      <c r="M46" s="22"/>
      <c r="N46" s="33"/>
      <c r="O46" s="34"/>
      <c r="P46" s="35"/>
    </row>
    <row r="47" spans="1:16" ht="12.75">
      <c r="A47" s="14">
        <v>1</v>
      </c>
      <c r="B47" s="16" t="s">
        <v>60</v>
      </c>
      <c r="C47" s="16"/>
      <c r="D47" s="16"/>
      <c r="E47" s="16">
        <v>0.2</v>
      </c>
      <c r="F47" s="16"/>
      <c r="G47" s="16"/>
      <c r="H47" s="16"/>
      <c r="I47" s="16"/>
      <c r="J47" s="16"/>
      <c r="K47" s="16"/>
      <c r="L47" s="16"/>
      <c r="M47" s="16">
        <v>0.2</v>
      </c>
      <c r="N47" s="2">
        <v>0</v>
      </c>
      <c r="O47" s="2">
        <v>0</v>
      </c>
      <c r="P47" s="2">
        <v>0</v>
      </c>
    </row>
    <row r="48" spans="1:16" ht="13.5" thickBot="1">
      <c r="A48" s="36">
        <v>2</v>
      </c>
      <c r="B48" s="18" t="s">
        <v>61</v>
      </c>
      <c r="C48" s="18"/>
      <c r="D48" s="18"/>
      <c r="E48" s="18">
        <v>0.5</v>
      </c>
      <c r="F48" s="18"/>
      <c r="G48" s="18"/>
      <c r="H48" s="18"/>
      <c r="I48" s="18"/>
      <c r="J48" s="18"/>
      <c r="K48" s="18"/>
      <c r="L48" s="18"/>
      <c r="M48" s="18">
        <v>0.5</v>
      </c>
      <c r="N48" s="11">
        <v>0</v>
      </c>
      <c r="O48" s="11">
        <v>0</v>
      </c>
      <c r="P48" s="11">
        <v>0</v>
      </c>
    </row>
    <row r="49" spans="1:16" s="13" customFormat="1" ht="15.75" thickBot="1">
      <c r="A49" s="37"/>
      <c r="B49" s="27" t="s">
        <v>62</v>
      </c>
      <c r="C49" s="27"/>
      <c r="D49" s="27"/>
      <c r="E49" s="27">
        <f>E47+E48</f>
        <v>0.7</v>
      </c>
      <c r="F49" s="27"/>
      <c r="G49" s="27"/>
      <c r="H49" s="27"/>
      <c r="I49" s="27"/>
      <c r="J49" s="27"/>
      <c r="K49" s="27"/>
      <c r="L49" s="27"/>
      <c r="M49" s="27">
        <f>SUM(M47:M48)</f>
        <v>0.7</v>
      </c>
      <c r="N49" s="27">
        <f>SUM(N47:N48)</f>
        <v>0</v>
      </c>
      <c r="O49" s="28">
        <f>SUM(O47:O48)</f>
        <v>0</v>
      </c>
      <c r="P49" s="38">
        <f>SUM(P47:P48)</f>
        <v>0</v>
      </c>
    </row>
    <row r="50" spans="1:16" ht="12.75">
      <c r="A50" s="14">
        <v>1</v>
      </c>
      <c r="B50" s="16" t="s">
        <v>63</v>
      </c>
      <c r="C50" s="16"/>
      <c r="D50" s="16"/>
      <c r="E50" s="49">
        <v>0.165</v>
      </c>
      <c r="F50" s="16"/>
      <c r="G50" s="16"/>
      <c r="H50" s="16"/>
      <c r="I50" s="16"/>
      <c r="J50" s="16"/>
      <c r="K50" s="16"/>
      <c r="L50" s="16"/>
      <c r="M50" s="16">
        <v>0.32</v>
      </c>
      <c r="N50" s="16">
        <v>0</v>
      </c>
      <c r="O50" s="16">
        <v>0</v>
      </c>
      <c r="P50" s="16">
        <v>0</v>
      </c>
    </row>
    <row r="51" spans="1:16" ht="12.75">
      <c r="A51" s="14">
        <v>2</v>
      </c>
      <c r="B51" s="16" t="s">
        <v>64</v>
      </c>
      <c r="C51" s="16">
        <v>0.2</v>
      </c>
      <c r="D51" s="16"/>
      <c r="E51" s="49">
        <v>0.135</v>
      </c>
      <c r="F51" s="16"/>
      <c r="G51" s="16">
        <v>2</v>
      </c>
      <c r="H51" s="16">
        <v>2</v>
      </c>
      <c r="I51" s="16"/>
      <c r="J51" s="16"/>
      <c r="K51" s="16"/>
      <c r="L51" s="16"/>
      <c r="M51" s="16">
        <f>C51+E51</f>
        <v>0.335</v>
      </c>
      <c r="N51" s="16">
        <f>G51+H51</f>
        <v>4</v>
      </c>
      <c r="O51" s="16">
        <v>0</v>
      </c>
      <c r="P51" s="16">
        <v>0</v>
      </c>
    </row>
    <row r="52" spans="1:16" ht="12.75">
      <c r="A52" s="14">
        <v>3</v>
      </c>
      <c r="B52" s="16" t="s">
        <v>65</v>
      </c>
      <c r="C52" s="16"/>
      <c r="D52" s="16"/>
      <c r="E52" s="16"/>
      <c r="F52" s="16">
        <f>2*0.09</f>
        <v>0.18</v>
      </c>
      <c r="G52" s="16"/>
      <c r="H52" s="16"/>
      <c r="I52" s="16"/>
      <c r="J52" s="16"/>
      <c r="K52" s="16"/>
      <c r="L52" s="16"/>
      <c r="M52" s="16">
        <v>0</v>
      </c>
      <c r="N52" s="16">
        <v>0</v>
      </c>
      <c r="O52" s="16">
        <f>2*0.09</f>
        <v>0.18</v>
      </c>
      <c r="P52" s="16">
        <v>0</v>
      </c>
    </row>
    <row r="53" spans="1:16" ht="12.75">
      <c r="A53" s="14">
        <v>4</v>
      </c>
      <c r="B53" s="16" t="s">
        <v>66</v>
      </c>
      <c r="C53" s="16"/>
      <c r="D53" s="16"/>
      <c r="E53" s="16"/>
      <c r="F53" s="16">
        <f>2*0.09</f>
        <v>0.18</v>
      </c>
      <c r="G53" s="16"/>
      <c r="H53" s="16"/>
      <c r="I53" s="16"/>
      <c r="J53" s="16"/>
      <c r="K53" s="16"/>
      <c r="L53" s="16"/>
      <c r="M53" s="16">
        <v>0</v>
      </c>
      <c r="N53" s="16">
        <v>0</v>
      </c>
      <c r="O53" s="16">
        <f>2*0.09</f>
        <v>0.18</v>
      </c>
      <c r="P53" s="16">
        <v>0</v>
      </c>
    </row>
    <row r="54" spans="1:16" ht="13.5" thickBot="1">
      <c r="A54" s="36">
        <v>5</v>
      </c>
      <c r="B54" s="18" t="s">
        <v>67</v>
      </c>
      <c r="C54" s="18"/>
      <c r="D54" s="18"/>
      <c r="E54" s="18"/>
      <c r="F54" s="18">
        <v>0.012</v>
      </c>
      <c r="G54" s="18"/>
      <c r="H54" s="18"/>
      <c r="I54" s="18"/>
      <c r="J54" s="18"/>
      <c r="K54" s="18"/>
      <c r="L54" s="18"/>
      <c r="M54" s="18">
        <v>0</v>
      </c>
      <c r="N54" s="18">
        <v>0</v>
      </c>
      <c r="O54" s="18">
        <v>0.012</v>
      </c>
      <c r="P54" s="18">
        <v>0</v>
      </c>
    </row>
    <row r="55" spans="1:16" s="13" customFormat="1" ht="15.75" thickBot="1">
      <c r="A55" s="37"/>
      <c r="B55" s="27" t="s">
        <v>68</v>
      </c>
      <c r="C55" s="27">
        <f>SUM(C51:C54)</f>
        <v>0.2</v>
      </c>
      <c r="D55" s="27"/>
      <c r="E55" s="53">
        <f>SUM(E50:E54)</f>
        <v>0.30000000000000004</v>
      </c>
      <c r="F55" s="27">
        <f>SUM(F52:F54)</f>
        <v>0.372</v>
      </c>
      <c r="G55" s="27">
        <f>SUM(G50:G54)</f>
        <v>2</v>
      </c>
      <c r="H55" s="27">
        <f>SUM(H50:H54)</f>
        <v>2</v>
      </c>
      <c r="I55" s="27"/>
      <c r="J55" s="27"/>
      <c r="K55" s="27"/>
      <c r="L55" s="27"/>
      <c r="M55" s="27">
        <f>SUM(M50:M54)</f>
        <v>0.655</v>
      </c>
      <c r="N55" s="27">
        <f>SUM(N50:N54)</f>
        <v>4</v>
      </c>
      <c r="O55" s="27">
        <f>SUM(O50:O54)</f>
        <v>0.372</v>
      </c>
      <c r="P55" s="28">
        <f>SUM(P50:P54)</f>
        <v>0</v>
      </c>
    </row>
    <row r="56" spans="1:16" ht="12.75">
      <c r="A56" s="14">
        <v>1</v>
      </c>
      <c r="B56" s="16" t="s">
        <v>69</v>
      </c>
      <c r="C56" s="16"/>
      <c r="D56" s="16"/>
      <c r="E56" s="16">
        <v>0.028</v>
      </c>
      <c r="F56" s="16"/>
      <c r="G56" s="16"/>
      <c r="H56" s="16"/>
      <c r="I56" s="16"/>
      <c r="J56" s="16"/>
      <c r="K56" s="16"/>
      <c r="L56" s="16"/>
      <c r="M56" s="16">
        <f>C56+E56</f>
        <v>0.028</v>
      </c>
      <c r="N56" s="16">
        <v>0</v>
      </c>
      <c r="O56" s="16">
        <v>0</v>
      </c>
      <c r="P56" s="16">
        <v>0</v>
      </c>
    </row>
    <row r="57" spans="1:16" ht="12.75">
      <c r="A57" s="3">
        <v>2</v>
      </c>
      <c r="B57" s="2" t="s">
        <v>70</v>
      </c>
      <c r="C57" s="2"/>
      <c r="D57" s="2"/>
      <c r="E57" s="47">
        <v>0.28</v>
      </c>
      <c r="F57" s="2"/>
      <c r="G57" s="2"/>
      <c r="H57" s="2"/>
      <c r="I57" s="2"/>
      <c r="J57" s="2"/>
      <c r="K57" s="2"/>
      <c r="L57" s="2"/>
      <c r="M57" s="2">
        <f>C57+E57</f>
        <v>0.28</v>
      </c>
      <c r="N57" s="2">
        <v>0</v>
      </c>
      <c r="O57" s="2">
        <v>0</v>
      </c>
      <c r="P57" s="2">
        <v>0</v>
      </c>
    </row>
    <row r="58" spans="1:16" ht="12.75">
      <c r="A58" s="3">
        <v>3</v>
      </c>
      <c r="B58" s="2" t="s">
        <v>71</v>
      </c>
      <c r="C58" s="2"/>
      <c r="D58" s="2"/>
      <c r="E58" s="47">
        <v>0.28</v>
      </c>
      <c r="F58" s="2"/>
      <c r="G58" s="2"/>
      <c r="H58" s="2"/>
      <c r="I58" s="2"/>
      <c r="J58" s="2"/>
      <c r="K58" s="2"/>
      <c r="L58" s="2"/>
      <c r="M58" s="2">
        <f>C58+E58</f>
        <v>0.28</v>
      </c>
      <c r="N58" s="2">
        <v>0</v>
      </c>
      <c r="O58" s="2">
        <v>0</v>
      </c>
      <c r="P58" s="2">
        <v>0</v>
      </c>
    </row>
    <row r="59" spans="1:16" ht="13.5" thickBot="1">
      <c r="A59" s="9">
        <v>4</v>
      </c>
      <c r="B59" s="11" t="s">
        <v>72</v>
      </c>
      <c r="C59" s="11"/>
      <c r="D59" s="11"/>
      <c r="E59" s="11">
        <v>0.04</v>
      </c>
      <c r="F59" s="11"/>
      <c r="G59" s="11"/>
      <c r="H59" s="11"/>
      <c r="I59" s="11"/>
      <c r="J59" s="11"/>
      <c r="K59" s="11"/>
      <c r="L59" s="11"/>
      <c r="M59" s="11">
        <f>C59+E59</f>
        <v>0.04</v>
      </c>
      <c r="N59" s="11">
        <v>0</v>
      </c>
      <c r="O59" s="11">
        <v>0</v>
      </c>
      <c r="P59" s="11">
        <v>0</v>
      </c>
    </row>
    <row r="60" spans="1:16" s="13" customFormat="1" ht="15.75" thickBot="1">
      <c r="A60" s="37"/>
      <c r="B60" s="27" t="s">
        <v>73</v>
      </c>
      <c r="C60" s="27"/>
      <c r="D60" s="27"/>
      <c r="E60" s="53">
        <f>SUM(E56:E59)</f>
        <v>0.6280000000000001</v>
      </c>
      <c r="F60" s="27"/>
      <c r="G60" s="27"/>
      <c r="H60" s="27"/>
      <c r="I60" s="27"/>
      <c r="J60" s="27"/>
      <c r="K60" s="27"/>
      <c r="L60" s="27"/>
      <c r="M60" s="28">
        <f>SUM(M56:M59)</f>
        <v>0.6280000000000001</v>
      </c>
      <c r="N60" s="25">
        <f>SUM(N56:N59)</f>
        <v>0</v>
      </c>
      <c r="O60" s="28">
        <f>SUM(O56:O59)</f>
        <v>0</v>
      </c>
      <c r="P60" s="39">
        <f>SUM(P56:P59)</f>
        <v>0</v>
      </c>
    </row>
    <row r="61" spans="1:16" ht="12.75">
      <c r="A61" s="14">
        <v>1</v>
      </c>
      <c r="B61" s="16" t="s">
        <v>74</v>
      </c>
      <c r="C61" s="16"/>
      <c r="D61" s="16"/>
      <c r="E61" s="16">
        <v>0.13</v>
      </c>
      <c r="F61" s="16"/>
      <c r="G61" s="16"/>
      <c r="H61" s="16"/>
      <c r="I61" s="16"/>
      <c r="J61" s="16"/>
      <c r="K61" s="16"/>
      <c r="L61" s="16"/>
      <c r="M61" s="16">
        <f>C61+E61</f>
        <v>0.13</v>
      </c>
      <c r="N61" s="16">
        <v>0</v>
      </c>
      <c r="O61" s="16">
        <v>0</v>
      </c>
      <c r="P61" s="16">
        <v>0</v>
      </c>
    </row>
    <row r="62" spans="1:16" ht="12.75">
      <c r="A62" s="3">
        <v>2</v>
      </c>
      <c r="B62" s="2" t="s">
        <v>75</v>
      </c>
      <c r="C62" s="2"/>
      <c r="D62" s="2"/>
      <c r="E62" s="2">
        <v>0.13</v>
      </c>
      <c r="F62" s="2"/>
      <c r="G62" s="2"/>
      <c r="H62" s="2"/>
      <c r="I62" s="2"/>
      <c r="J62" s="2"/>
      <c r="K62" s="2"/>
      <c r="L62" s="2"/>
      <c r="M62" s="2">
        <f>C62+E62</f>
        <v>0.13</v>
      </c>
      <c r="N62" s="2">
        <v>0</v>
      </c>
      <c r="O62" s="2">
        <v>0</v>
      </c>
      <c r="P62" s="2">
        <v>0</v>
      </c>
    </row>
    <row r="63" spans="1:16" ht="12.75">
      <c r="A63" s="3">
        <v>3</v>
      </c>
      <c r="B63" s="2" t="s">
        <v>76</v>
      </c>
      <c r="C63" s="2"/>
      <c r="D63" s="2"/>
      <c r="E63" s="2">
        <v>0.118</v>
      </c>
      <c r="F63" s="2"/>
      <c r="G63" s="2"/>
      <c r="H63" s="2"/>
      <c r="I63" s="2"/>
      <c r="J63" s="2"/>
      <c r="K63" s="2"/>
      <c r="L63" s="2"/>
      <c r="M63" s="2">
        <f>C63+E63</f>
        <v>0.118</v>
      </c>
      <c r="N63" s="2">
        <v>0</v>
      </c>
      <c r="O63" s="2">
        <v>0</v>
      </c>
      <c r="P63" s="2">
        <v>0</v>
      </c>
    </row>
    <row r="64" spans="1:16" ht="13.5" thickBot="1">
      <c r="A64" s="3">
        <v>4</v>
      </c>
      <c r="B64" s="2" t="s">
        <v>77</v>
      </c>
      <c r="C64" s="2"/>
      <c r="D64" s="2"/>
      <c r="E64" s="2">
        <v>0.118</v>
      </c>
      <c r="F64" s="2"/>
      <c r="G64" s="2"/>
      <c r="H64" s="2"/>
      <c r="I64" s="2"/>
      <c r="J64" s="2"/>
      <c r="K64" s="2"/>
      <c r="L64" s="2"/>
      <c r="M64" s="2">
        <f>C64+E64</f>
        <v>0.118</v>
      </c>
      <c r="N64" s="2">
        <v>0</v>
      </c>
      <c r="O64" s="2">
        <v>0</v>
      </c>
      <c r="P64" s="2">
        <v>0</v>
      </c>
    </row>
    <row r="65" spans="1:16" s="13" customFormat="1" ht="15.75" thickBot="1">
      <c r="A65" s="37"/>
      <c r="B65" s="27" t="s">
        <v>78</v>
      </c>
      <c r="C65" s="27"/>
      <c r="D65" s="27"/>
      <c r="E65" s="27">
        <f>SUM(E61:E64)</f>
        <v>0.496</v>
      </c>
      <c r="F65" s="27"/>
      <c r="G65" s="27"/>
      <c r="H65" s="27"/>
      <c r="I65" s="27"/>
      <c r="J65" s="27"/>
      <c r="K65" s="27"/>
      <c r="L65" s="28"/>
      <c r="M65" s="25">
        <f>SUM(M61:M64)</f>
        <v>0.496</v>
      </c>
      <c r="N65" s="27">
        <f>SUM(N61:N64)</f>
        <v>0</v>
      </c>
      <c r="O65" s="27">
        <f>SUM(O61:O64)</f>
        <v>0</v>
      </c>
      <c r="P65" s="28">
        <f>SUM(P61:P64)</f>
        <v>0</v>
      </c>
    </row>
    <row r="66" spans="1:16" s="44" customFormat="1" ht="16.5" thickBot="1">
      <c r="A66" s="40">
        <f>9+9+6+9+4</f>
        <v>37</v>
      </c>
      <c r="B66" s="41" t="s">
        <v>79</v>
      </c>
      <c r="C66" s="42">
        <f>C12+C22+C29+C39+C44+C45+C46+C49+C55+C60+C65</f>
        <v>83.018</v>
      </c>
      <c r="D66" s="43">
        <f aca="true" t="shared" si="11" ref="D66:N66">D12+D22+D29+D39+D44+D45+D46+D49+D55+D60+D65</f>
        <v>35.472</v>
      </c>
      <c r="E66" s="42">
        <f>E12+E22+E29+E39+E44+E45+E46+E49+E55+E60+E65</f>
        <v>40.09100000000001</v>
      </c>
      <c r="F66" s="43">
        <f t="shared" si="11"/>
        <v>5.175</v>
      </c>
      <c r="G66" s="42">
        <f t="shared" si="11"/>
        <v>1220</v>
      </c>
      <c r="H66" s="42">
        <f t="shared" si="11"/>
        <v>230</v>
      </c>
      <c r="I66" s="42">
        <f t="shared" si="11"/>
        <v>4</v>
      </c>
      <c r="J66" s="43">
        <f t="shared" si="11"/>
        <v>122</v>
      </c>
      <c r="K66" s="43">
        <f t="shared" si="11"/>
        <v>357</v>
      </c>
      <c r="L66" s="43">
        <f t="shared" si="11"/>
        <v>6</v>
      </c>
      <c r="M66" s="43">
        <f t="shared" si="11"/>
        <v>121.76900000000002</v>
      </c>
      <c r="N66" s="43">
        <f t="shared" si="11"/>
        <v>1430</v>
      </c>
      <c r="O66" s="43">
        <f>O12+O22+O29+O39+O44+O45+O46+O49+O55+O60+O65</f>
        <v>40.647</v>
      </c>
      <c r="P66" s="43">
        <f>P12+P22+P29+P39+P44+P45+P46+P49+P55+P60+P65</f>
        <v>484</v>
      </c>
    </row>
    <row r="67" spans="2:15" ht="12.75"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  <c r="N67" s="45"/>
      <c r="O67" s="45"/>
    </row>
    <row r="68" spans="2:15" ht="12.75">
      <c r="B68" s="46" t="s">
        <v>84</v>
      </c>
      <c r="C68" s="45">
        <v>97.501</v>
      </c>
      <c r="D68" s="45"/>
      <c r="E68" s="45">
        <f>E66</f>
        <v>40.09100000000001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2:15" ht="12.75">
      <c r="B69" s="46" t="s">
        <v>81</v>
      </c>
      <c r="C69" s="45">
        <f>C68-C66</f>
        <v>14.483000000000004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</sheetData>
  <sheetProtection/>
  <mergeCells count="5">
    <mergeCell ref="O1:P1"/>
    <mergeCell ref="C1:F1"/>
    <mergeCell ref="G1:I1"/>
    <mergeCell ref="J1:L1"/>
    <mergeCell ref="M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74"/>
  <sheetViews>
    <sheetView tabSelected="1" view="pageLayout" zoomScaleNormal="70" workbookViewId="0" topLeftCell="A1">
      <selection activeCell="C50" sqref="C50"/>
    </sheetView>
  </sheetViews>
  <sheetFormatPr defaultColWidth="9.140625" defaultRowHeight="12.75"/>
  <cols>
    <col min="1" max="1" width="6.00390625" style="0" customWidth="1"/>
    <col min="2" max="2" width="55.00390625" style="0" customWidth="1"/>
    <col min="3" max="3" width="24.57421875" style="0" customWidth="1"/>
    <col min="4" max="4" width="143.7109375" style="0" customWidth="1"/>
  </cols>
  <sheetData>
    <row r="1" spans="1:105" ht="30.75" customHeight="1">
      <c r="A1" s="78" t="s">
        <v>89</v>
      </c>
      <c r="B1" s="78"/>
      <c r="C1" s="7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</row>
    <row r="2" spans="1:105" ht="25.5">
      <c r="A2" s="65" t="s">
        <v>86</v>
      </c>
      <c r="B2" s="65" t="s">
        <v>88</v>
      </c>
      <c r="C2" s="65" t="s">
        <v>87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</row>
    <row r="3" spans="1:105" ht="45.75" customHeight="1">
      <c r="A3" s="80" t="s">
        <v>94</v>
      </c>
      <c r="B3" s="81"/>
      <c r="C3" s="82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</row>
    <row r="4" spans="1:105" ht="12.75">
      <c r="A4" s="61">
        <v>1</v>
      </c>
      <c r="B4" s="61" t="s">
        <v>16</v>
      </c>
      <c r="C4" s="70">
        <v>0.401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</row>
    <row r="5" spans="1:105" ht="12.75">
      <c r="A5" s="61">
        <f aca="true" t="shared" si="0" ref="A5:A12">A4+1</f>
        <v>2</v>
      </c>
      <c r="B5" s="62" t="s">
        <v>17</v>
      </c>
      <c r="C5" s="71">
        <v>2.293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</row>
    <row r="6" spans="1:105" ht="12.75">
      <c r="A6" s="61">
        <f t="shared" si="0"/>
        <v>3</v>
      </c>
      <c r="B6" s="62" t="s">
        <v>18</v>
      </c>
      <c r="C6" s="71">
        <v>1.344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</row>
    <row r="7" spans="1:105" ht="12.75">
      <c r="A7" s="61">
        <f t="shared" si="0"/>
        <v>4</v>
      </c>
      <c r="B7" s="62" t="s">
        <v>19</v>
      </c>
      <c r="C7" s="71">
        <v>2.703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1:105" ht="12.75">
      <c r="A8" s="61">
        <f t="shared" si="0"/>
        <v>5</v>
      </c>
      <c r="B8" s="62" t="s">
        <v>21</v>
      </c>
      <c r="C8" s="71">
        <v>1.332</v>
      </c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</row>
    <row r="9" spans="1:105" ht="12.75">
      <c r="A9" s="61">
        <f t="shared" si="0"/>
        <v>6</v>
      </c>
      <c r="B9" s="62" t="s">
        <v>20</v>
      </c>
      <c r="C9" s="71">
        <v>0.555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</row>
    <row r="10" spans="1:105" ht="12.75">
      <c r="A10" s="61">
        <f t="shared" si="0"/>
        <v>7</v>
      </c>
      <c r="B10" s="62" t="s">
        <v>23</v>
      </c>
      <c r="C10" s="71">
        <v>1.254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</row>
    <row r="11" spans="1:105" ht="12.75">
      <c r="A11" s="61">
        <f t="shared" si="0"/>
        <v>8</v>
      </c>
      <c r="B11" s="62" t="s">
        <v>22</v>
      </c>
      <c r="C11" s="71">
        <v>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</row>
    <row r="12" spans="1:105" ht="13.5" thickBot="1">
      <c r="A12" s="59">
        <f t="shared" si="0"/>
        <v>9</v>
      </c>
      <c r="B12" s="66" t="s">
        <v>24</v>
      </c>
      <c r="C12" s="72">
        <v>0.211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</row>
    <row r="13" spans="1:105" ht="39.75" customHeight="1">
      <c r="A13" s="83" t="s">
        <v>93</v>
      </c>
      <c r="B13" s="84"/>
      <c r="C13" s="85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</row>
    <row r="14" spans="1:105" ht="12.75">
      <c r="A14" s="60">
        <v>1</v>
      </c>
      <c r="B14" s="67" t="s">
        <v>26</v>
      </c>
      <c r="C14" s="73"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</row>
    <row r="15" spans="1:105" ht="12.75">
      <c r="A15" s="61">
        <f aca="true" t="shared" si="1" ref="A15:A22">A14+1</f>
        <v>2</v>
      </c>
      <c r="B15" s="62" t="s">
        <v>27</v>
      </c>
      <c r="C15" s="71">
        <v>0.062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</row>
    <row r="16" spans="1:105" ht="12.75">
      <c r="A16" s="61">
        <f t="shared" si="1"/>
        <v>3</v>
      </c>
      <c r="B16" s="62" t="s">
        <v>28</v>
      </c>
      <c r="C16" s="71">
        <v>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</row>
    <row r="17" spans="1:105" ht="12.75">
      <c r="A17" s="61">
        <f t="shared" si="1"/>
        <v>4</v>
      </c>
      <c r="B17" s="62" t="s">
        <v>29</v>
      </c>
      <c r="C17" s="71">
        <v>0.9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</row>
    <row r="18" spans="1:105" ht="12.75">
      <c r="A18" s="61">
        <f t="shared" si="1"/>
        <v>5</v>
      </c>
      <c r="B18" s="62" t="s">
        <v>30</v>
      </c>
      <c r="C18" s="71">
        <v>0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</row>
    <row r="19" spans="1:105" ht="12.75">
      <c r="A19" s="61">
        <f t="shared" si="1"/>
        <v>6</v>
      </c>
      <c r="B19" s="62" t="s">
        <v>31</v>
      </c>
      <c r="C19" s="71">
        <v>0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</row>
    <row r="20" spans="1:105" ht="12.75">
      <c r="A20" s="61">
        <f t="shared" si="1"/>
        <v>7</v>
      </c>
      <c r="B20" s="62" t="s">
        <v>32</v>
      </c>
      <c r="C20" s="71">
        <v>0.09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</row>
    <row r="21" spans="1:105" ht="12.75">
      <c r="A21" s="61">
        <f t="shared" si="1"/>
        <v>8</v>
      </c>
      <c r="B21" s="62" t="s">
        <v>33</v>
      </c>
      <c r="C21" s="71">
        <v>0.05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</row>
    <row r="22" spans="1:105" ht="13.5" thickBot="1">
      <c r="A22" s="59">
        <f t="shared" si="1"/>
        <v>9</v>
      </c>
      <c r="B22" s="66" t="s">
        <v>34</v>
      </c>
      <c r="C22" s="72">
        <v>0.044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</row>
    <row r="23" spans="1:105" ht="42" customHeight="1">
      <c r="A23" s="83" t="s">
        <v>92</v>
      </c>
      <c r="B23" s="84"/>
      <c r="C23" s="85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</row>
    <row r="24" spans="1:105" ht="12.75">
      <c r="A24" s="61">
        <v>1</v>
      </c>
      <c r="B24" s="62" t="s">
        <v>37</v>
      </c>
      <c r="C24" s="71">
        <v>0.16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</row>
    <row r="25" spans="1:105" ht="12.75">
      <c r="A25" s="61">
        <v>2</v>
      </c>
      <c r="B25" s="62" t="s">
        <v>38</v>
      </c>
      <c r="C25" s="71">
        <v>0.515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</row>
    <row r="26" spans="1:105" ht="12.75">
      <c r="A26" s="61">
        <v>3</v>
      </c>
      <c r="B26" s="62" t="s">
        <v>40</v>
      </c>
      <c r="C26" s="71">
        <v>0.164</v>
      </c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</row>
    <row r="27" spans="1:105" ht="12.75">
      <c r="A27" s="61">
        <v>5</v>
      </c>
      <c r="B27" s="62" t="s">
        <v>41</v>
      </c>
      <c r="C27" s="71">
        <v>0.719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</row>
    <row r="28" spans="1:105" ht="13.5" thickBot="1">
      <c r="A28" s="59">
        <v>6</v>
      </c>
      <c r="B28" s="66" t="s">
        <v>36</v>
      </c>
      <c r="C28" s="72">
        <v>0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</row>
    <row r="29" spans="1:105" ht="41.25" customHeight="1">
      <c r="A29" s="83" t="s">
        <v>90</v>
      </c>
      <c r="B29" s="84"/>
      <c r="C29" s="85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</row>
    <row r="30" spans="1:105" ht="12.75">
      <c r="A30" s="60">
        <v>1</v>
      </c>
      <c r="B30" s="67" t="s">
        <v>43</v>
      </c>
      <c r="C30" s="73">
        <v>0.545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</row>
    <row r="31" spans="1:105" ht="12.75">
      <c r="A31" s="61">
        <v>2</v>
      </c>
      <c r="B31" s="62" t="s">
        <v>44</v>
      </c>
      <c r="C31" s="71">
        <v>0.368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</row>
    <row r="32" spans="1:105" ht="12.75">
      <c r="A32" s="61">
        <v>3</v>
      </c>
      <c r="B32" s="62" t="s">
        <v>45</v>
      </c>
      <c r="C32" s="71">
        <v>0.014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</row>
    <row r="33" spans="1:105" ht="12.75">
      <c r="A33" s="61">
        <v>4</v>
      </c>
      <c r="B33" s="62" t="s">
        <v>46</v>
      </c>
      <c r="C33" s="71">
        <v>0.171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</row>
    <row r="34" spans="1:105" ht="12.75">
      <c r="A34" s="61">
        <v>5</v>
      </c>
      <c r="B34" s="62" t="s">
        <v>47</v>
      </c>
      <c r="C34" s="71">
        <v>0.007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</row>
    <row r="35" spans="1:105" ht="12.75">
      <c r="A35" s="61">
        <v>6</v>
      </c>
      <c r="B35" s="62" t="s">
        <v>48</v>
      </c>
      <c r="C35" s="71">
        <v>0.052</v>
      </c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</row>
    <row r="36" spans="1:105" ht="12.75">
      <c r="A36" s="61">
        <v>7</v>
      </c>
      <c r="B36" s="62" t="s">
        <v>49</v>
      </c>
      <c r="C36" s="71">
        <v>1.879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</row>
    <row r="37" spans="1:105" ht="12.75">
      <c r="A37" s="61">
        <v>8</v>
      </c>
      <c r="B37" s="62" t="s">
        <v>50</v>
      </c>
      <c r="C37" s="71">
        <v>0.386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</row>
    <row r="38" spans="1:105" ht="12.75">
      <c r="A38" s="61">
        <v>9</v>
      </c>
      <c r="B38" s="62" t="s">
        <v>51</v>
      </c>
      <c r="C38" s="71">
        <v>0.116</v>
      </c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</row>
    <row r="39" spans="1:105" ht="39" customHeight="1">
      <c r="A39" s="86" t="s">
        <v>91</v>
      </c>
      <c r="B39" s="87"/>
      <c r="C39" s="8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</row>
    <row r="40" spans="1:105" ht="12.75">
      <c r="A40" s="60">
        <v>1</v>
      </c>
      <c r="B40" s="67" t="s">
        <v>53</v>
      </c>
      <c r="C40" s="73">
        <v>0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</row>
    <row r="41" spans="1:105" ht="12.75">
      <c r="A41" s="61">
        <v>2</v>
      </c>
      <c r="B41" s="62" t="s">
        <v>54</v>
      </c>
      <c r="C41" s="71">
        <v>0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</row>
    <row r="42" spans="1:105" ht="12.75">
      <c r="A42" s="61">
        <v>3</v>
      </c>
      <c r="B42" s="62" t="s">
        <v>55</v>
      </c>
      <c r="C42" s="71">
        <v>0.93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</row>
    <row r="43" spans="1:105" s="45" customFormat="1" ht="12.75">
      <c r="A43" s="61">
        <v>4</v>
      </c>
      <c r="B43" s="62" t="s">
        <v>56</v>
      </c>
      <c r="C43" s="71">
        <v>1.427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</row>
    <row r="44" spans="1:105" s="45" customFormat="1" ht="15">
      <c r="A44" s="63"/>
      <c r="B44" s="64"/>
      <c r="C44" s="64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</row>
    <row r="45" spans="1:105" s="45" customFormat="1" ht="14.25">
      <c r="A45" s="79"/>
      <c r="B45" s="79"/>
      <c r="C45" s="79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</row>
    <row r="46" spans="1:105" s="45" customFormat="1" ht="15">
      <c r="A46" s="63"/>
      <c r="B46" s="64"/>
      <c r="C46" s="64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</row>
    <row r="47" spans="1:105" s="45" customFormat="1" ht="15">
      <c r="A47" s="63"/>
      <c r="B47" s="64"/>
      <c r="C47" s="64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</row>
    <row r="48" spans="1:105" s="45" customFormat="1" ht="15">
      <c r="A48" s="63"/>
      <c r="B48" s="64"/>
      <c r="C48" s="64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</row>
    <row r="49" spans="4:105" s="69" customFormat="1" ht="15" customHeight="1"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</row>
    <row r="50" spans="4:105" s="69" customFormat="1" ht="13.5" customHeight="1"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</row>
    <row r="51" spans="4:105" s="69" customFormat="1" ht="13.5" customHeight="1"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</row>
    <row r="52" spans="4:105" s="69" customFormat="1" ht="13.5" customHeight="1"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</row>
    <row r="53" spans="4:105" s="69" customFormat="1" ht="13.5" customHeight="1"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</row>
    <row r="54" spans="4:105" s="69" customFormat="1" ht="13.5" customHeight="1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</row>
    <row r="55" spans="4:105" s="69" customFormat="1" ht="13.5" customHeight="1"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</row>
    <row r="56" spans="4:105" s="69" customFormat="1" ht="13.5" customHeight="1"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</row>
    <row r="57" spans="4:105" s="69" customFormat="1" ht="13.5" customHeight="1"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</row>
    <row r="58" spans="4:105" s="69" customFormat="1" ht="13.5" customHeight="1"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</row>
    <row r="59" spans="4:105" s="69" customFormat="1" ht="13.5" customHeight="1"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</row>
    <row r="60" spans="4:105" s="69" customFormat="1" ht="13.5" customHeight="1"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</row>
    <row r="61" spans="4:105" s="69" customFormat="1" ht="13.5" customHeight="1"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</row>
    <row r="62" spans="4:105" s="69" customFormat="1" ht="13.5" customHeight="1"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</row>
    <row r="63" spans="4:105" s="69" customFormat="1" ht="13.5" customHeight="1"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</row>
    <row r="64" spans="4:105" s="69" customFormat="1" ht="13.5" customHeight="1"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</row>
    <row r="65" spans="4:105" s="69" customFormat="1" ht="13.5" customHeight="1"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</row>
    <row r="66" spans="4:105" s="69" customFormat="1" ht="13.5" customHeight="1"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</row>
    <row r="67" spans="4:105" s="69" customFormat="1" ht="13.5" customHeight="1"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</row>
    <row r="68" spans="4:105" s="69" customFormat="1" ht="13.5" customHeight="1"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</row>
    <row r="69" spans="4:105" s="69" customFormat="1" ht="13.5" customHeight="1"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</row>
    <row r="70" spans="4:105" s="69" customFormat="1" ht="13.5" customHeight="1"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</row>
    <row r="71" spans="4:105" s="69" customFormat="1" ht="13.5" customHeight="1"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</row>
    <row r="72" spans="4:105" s="69" customFormat="1" ht="13.5" customHeight="1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</row>
    <row r="73" spans="4:105" s="69" customFormat="1" ht="13.5" customHeight="1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</row>
    <row r="74" spans="4:105" s="69" customFormat="1" ht="13.5" customHeight="1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</row>
    <row r="75" spans="4:105" s="69" customFormat="1" ht="13.5" customHeight="1"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</row>
    <row r="76" spans="4:105" s="69" customFormat="1" ht="13.5" customHeight="1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</row>
    <row r="77" spans="4:105" s="69" customFormat="1" ht="13.5" customHeight="1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</row>
    <row r="78" spans="103:105" s="69" customFormat="1" ht="13.5" customHeight="1">
      <c r="CY78" s="68"/>
      <c r="CZ78" s="68"/>
      <c r="DA78" s="68"/>
    </row>
    <row r="79" spans="103:105" s="69" customFormat="1" ht="13.5" customHeight="1">
      <c r="CY79" s="68"/>
      <c r="CZ79" s="68"/>
      <c r="DA79" s="68"/>
    </row>
    <row r="80" spans="103:105" s="69" customFormat="1" ht="13.5" customHeight="1">
      <c r="CY80" s="68"/>
      <c r="CZ80" s="68"/>
      <c r="DA80" s="68"/>
    </row>
    <row r="81" spans="103:105" s="69" customFormat="1" ht="13.5" customHeight="1">
      <c r="CY81" s="68"/>
      <c r="CZ81" s="68"/>
      <c r="DA81" s="68"/>
    </row>
    <row r="82" spans="103:105" s="69" customFormat="1" ht="13.5" customHeight="1">
      <c r="CY82" s="68"/>
      <c r="CZ82" s="68"/>
      <c r="DA82" s="68"/>
    </row>
    <row r="83" spans="103:105" s="69" customFormat="1" ht="13.5" customHeight="1">
      <c r="CY83" s="68"/>
      <c r="CZ83" s="68"/>
      <c r="DA83" s="68"/>
    </row>
    <row r="84" spans="103:105" s="69" customFormat="1" ht="13.5" customHeight="1">
      <c r="CY84" s="68"/>
      <c r="CZ84" s="68"/>
      <c r="DA84" s="68"/>
    </row>
    <row r="85" spans="103:105" s="69" customFormat="1" ht="13.5" customHeight="1">
      <c r="CY85" s="68"/>
      <c r="CZ85" s="68"/>
      <c r="DA85" s="68"/>
    </row>
    <row r="86" spans="103:105" s="69" customFormat="1" ht="13.5" customHeight="1">
      <c r="CY86" s="68"/>
      <c r="CZ86" s="68"/>
      <c r="DA86" s="68"/>
    </row>
    <row r="87" spans="103:105" s="69" customFormat="1" ht="13.5" customHeight="1">
      <c r="CY87" s="68"/>
      <c r="CZ87" s="68"/>
      <c r="DA87" s="68"/>
    </row>
    <row r="88" spans="103:105" s="69" customFormat="1" ht="13.5" customHeight="1">
      <c r="CY88" s="68"/>
      <c r="CZ88" s="68"/>
      <c r="DA88" s="68"/>
    </row>
    <row r="89" spans="103:105" s="69" customFormat="1" ht="13.5" customHeight="1">
      <c r="CY89" s="68"/>
      <c r="CZ89" s="68"/>
      <c r="DA89" s="68"/>
    </row>
    <row r="90" spans="103:105" s="69" customFormat="1" ht="13.5" customHeight="1">
      <c r="CY90" s="68"/>
      <c r="CZ90" s="68"/>
      <c r="DA90" s="68"/>
    </row>
    <row r="91" spans="103:105" s="69" customFormat="1" ht="13.5" customHeight="1">
      <c r="CY91" s="68"/>
      <c r="CZ91" s="68"/>
      <c r="DA91" s="68"/>
    </row>
    <row r="92" spans="103:105" s="69" customFormat="1" ht="13.5" customHeight="1">
      <c r="CY92" s="68"/>
      <c r="CZ92" s="68"/>
      <c r="DA92" s="68"/>
    </row>
    <row r="93" spans="103:105" s="69" customFormat="1" ht="13.5" customHeight="1">
      <c r="CY93" s="68"/>
      <c r="CZ93" s="68"/>
      <c r="DA93" s="68"/>
    </row>
    <row r="94" spans="103:105" s="69" customFormat="1" ht="13.5" customHeight="1">
      <c r="CY94" s="68"/>
      <c r="CZ94" s="68"/>
      <c r="DA94" s="68"/>
    </row>
    <row r="95" spans="103:105" s="69" customFormat="1" ht="13.5" customHeight="1">
      <c r="CY95" s="68"/>
      <c r="CZ95" s="68"/>
      <c r="DA95" s="68"/>
    </row>
    <row r="96" spans="103:105" s="69" customFormat="1" ht="13.5" customHeight="1">
      <c r="CY96" s="68"/>
      <c r="CZ96" s="68"/>
      <c r="DA96" s="68"/>
    </row>
    <row r="97" spans="103:105" s="69" customFormat="1" ht="13.5" customHeight="1">
      <c r="CY97" s="68"/>
      <c r="CZ97" s="68"/>
      <c r="DA97" s="68"/>
    </row>
    <row r="98" spans="103:105" s="69" customFormat="1" ht="13.5" customHeight="1">
      <c r="CY98" s="68"/>
      <c r="CZ98" s="68"/>
      <c r="DA98" s="68"/>
    </row>
    <row r="99" spans="103:105" s="69" customFormat="1" ht="13.5" customHeight="1">
      <c r="CY99" s="68"/>
      <c r="CZ99" s="68"/>
      <c r="DA99" s="68"/>
    </row>
    <row r="100" spans="103:105" s="69" customFormat="1" ht="13.5" customHeight="1">
      <c r="CY100" s="68"/>
      <c r="CZ100" s="68"/>
      <c r="DA100" s="68"/>
    </row>
    <row r="101" spans="2:105" ht="12.75" customHeight="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69"/>
      <c r="BZ101" s="69"/>
      <c r="CA101" s="69"/>
      <c r="CB101" s="69"/>
      <c r="CC101" s="69"/>
      <c r="CD101" s="69"/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8"/>
      <c r="CZ101" s="68"/>
      <c r="DA101" s="68"/>
    </row>
    <row r="102" spans="2:105" ht="12.75" customHeight="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8"/>
      <c r="CZ102" s="68"/>
      <c r="DA102" s="68"/>
    </row>
    <row r="103" spans="2:105" ht="12.75" customHeight="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/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8"/>
      <c r="CZ103" s="68"/>
      <c r="DA103" s="68"/>
    </row>
    <row r="104" spans="2:105" ht="12.75" customHeight="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8"/>
      <c r="CZ104" s="68"/>
      <c r="DA104" s="68"/>
    </row>
    <row r="105" spans="2:105" ht="12.75" customHeight="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/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8"/>
      <c r="CZ105" s="68"/>
      <c r="DA105" s="68"/>
    </row>
    <row r="106" spans="2:105" ht="12.75" customHeight="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  <c r="BU106" s="69"/>
      <c r="BV106" s="69"/>
      <c r="BW106" s="69"/>
      <c r="BX106" s="69"/>
      <c r="BY106" s="69"/>
      <c r="BZ106" s="69"/>
      <c r="CA106" s="69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8"/>
      <c r="CZ106" s="68"/>
      <c r="DA106" s="68"/>
    </row>
    <row r="107" spans="2:105" ht="12.75" customHeight="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/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8"/>
      <c r="CZ107" s="68"/>
      <c r="DA107" s="68"/>
    </row>
    <row r="108" spans="2:105" ht="12.75" customHeight="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  <c r="BV108" s="69"/>
      <c r="BW108" s="69"/>
      <c r="BX108" s="69"/>
      <c r="BY108" s="69"/>
      <c r="BZ108" s="69"/>
      <c r="CA108" s="69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8"/>
      <c r="CZ108" s="68"/>
      <c r="DA108" s="68"/>
    </row>
    <row r="109" spans="2:105" ht="12.75" customHeight="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  <c r="BU109" s="69"/>
      <c r="BV109" s="69"/>
      <c r="BW109" s="69"/>
      <c r="BX109" s="69"/>
      <c r="BY109" s="69"/>
      <c r="BZ109" s="69"/>
      <c r="CA109" s="69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8"/>
      <c r="CZ109" s="68"/>
      <c r="DA109" s="68"/>
    </row>
    <row r="110" spans="2:105" ht="12.75" customHeight="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8"/>
      <c r="CZ110" s="68"/>
      <c r="DA110" s="68"/>
    </row>
    <row r="111" spans="2:105" ht="12.75" customHeight="1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  <c r="BU111" s="69"/>
      <c r="BV111" s="69"/>
      <c r="BW111" s="69"/>
      <c r="BX111" s="69"/>
      <c r="BY111" s="69"/>
      <c r="BZ111" s="69"/>
      <c r="CA111" s="69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8"/>
      <c r="CZ111" s="68"/>
      <c r="DA111" s="68"/>
    </row>
    <row r="112" spans="2:105" ht="12.75" customHeight="1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  <c r="BU112" s="69"/>
      <c r="BV112" s="69"/>
      <c r="BW112" s="69"/>
      <c r="BX112" s="69"/>
      <c r="BY112" s="69"/>
      <c r="BZ112" s="69"/>
      <c r="CA112" s="69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8"/>
      <c r="CZ112" s="68"/>
      <c r="DA112" s="68"/>
    </row>
    <row r="113" spans="2:105" ht="12.75" customHeight="1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  <c r="BU113" s="69"/>
      <c r="BV113" s="69"/>
      <c r="BW113" s="69"/>
      <c r="BX113" s="69"/>
      <c r="BY113" s="69"/>
      <c r="BZ113" s="69"/>
      <c r="CA113" s="69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8"/>
      <c r="CZ113" s="68"/>
      <c r="DA113" s="68"/>
    </row>
    <row r="114" spans="2:105" ht="12.75" customHeight="1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/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8"/>
      <c r="CZ114" s="68"/>
      <c r="DA114" s="68"/>
    </row>
    <row r="115" spans="2:105" ht="12.75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8"/>
      <c r="CZ115" s="68"/>
      <c r="DA115" s="68"/>
    </row>
    <row r="116" spans="2:105" ht="12.75" customHeight="1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  <c r="BW116" s="69"/>
      <c r="BX116" s="69"/>
      <c r="BY116" s="69"/>
      <c r="BZ116" s="69"/>
      <c r="CA116" s="69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8"/>
      <c r="CZ116" s="68"/>
      <c r="DA116" s="68"/>
    </row>
    <row r="117" spans="2:105" ht="12.75" customHeight="1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8"/>
      <c r="CZ117" s="68"/>
      <c r="DA117" s="68"/>
    </row>
    <row r="118" spans="2:105" ht="12.75" customHeight="1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9"/>
      <c r="BW118" s="69"/>
      <c r="BX118" s="69"/>
      <c r="BY118" s="69"/>
      <c r="BZ118" s="69"/>
      <c r="CA118" s="69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8"/>
      <c r="CZ118" s="68"/>
      <c r="DA118" s="68"/>
    </row>
    <row r="119" spans="2:105" ht="12.75" customHeight="1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  <c r="BU119" s="69"/>
      <c r="BV119" s="69"/>
      <c r="BW119" s="69"/>
      <c r="BX119" s="69"/>
      <c r="BY119" s="69"/>
      <c r="BZ119" s="69"/>
      <c r="CA119" s="69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8"/>
      <c r="CZ119" s="68"/>
      <c r="DA119" s="68"/>
    </row>
    <row r="120" spans="2:105" ht="12.75" customHeight="1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  <c r="BU120" s="69"/>
      <c r="BV120" s="69"/>
      <c r="BW120" s="69"/>
      <c r="BX120" s="69"/>
      <c r="BY120" s="69"/>
      <c r="BZ120" s="69"/>
      <c r="CA120" s="69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8"/>
      <c r="CZ120" s="68"/>
      <c r="DA120" s="68"/>
    </row>
    <row r="121" spans="2:105" ht="12.75" customHeight="1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  <c r="BU121" s="69"/>
      <c r="BV121" s="69"/>
      <c r="BW121" s="69"/>
      <c r="BX121" s="69"/>
      <c r="BY121" s="69"/>
      <c r="BZ121" s="69"/>
      <c r="CA121" s="69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8"/>
      <c r="CZ121" s="68"/>
      <c r="DA121" s="68"/>
    </row>
    <row r="122" spans="2:105" ht="12.75" customHeight="1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/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8"/>
      <c r="CZ122" s="68"/>
      <c r="DA122" s="68"/>
    </row>
    <row r="123" spans="2:105" ht="12.75" customHeight="1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  <c r="BU123" s="69"/>
      <c r="BV123" s="69"/>
      <c r="BW123" s="69"/>
      <c r="BX123" s="69"/>
      <c r="BY123" s="69"/>
      <c r="BZ123" s="69"/>
      <c r="CA123" s="69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8"/>
      <c r="CZ123" s="68"/>
      <c r="DA123" s="68"/>
    </row>
    <row r="124" spans="2:105" ht="12.75" customHeight="1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  <c r="BW124" s="69"/>
      <c r="BX124" s="69"/>
      <c r="BY124" s="69"/>
      <c r="BZ124" s="69"/>
      <c r="CA124" s="69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8"/>
      <c r="CZ124" s="68"/>
      <c r="DA124" s="68"/>
    </row>
    <row r="125" spans="2:105" ht="12.75" customHeight="1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8"/>
      <c r="CZ125" s="68"/>
      <c r="DA125" s="68"/>
    </row>
    <row r="126" spans="2:105" ht="12.75" customHeight="1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8"/>
      <c r="CZ126" s="68"/>
      <c r="DA126" s="68"/>
    </row>
    <row r="127" spans="2:105" ht="12.75" customHeight="1"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8"/>
      <c r="CZ127" s="68"/>
      <c r="DA127" s="68"/>
    </row>
    <row r="128" spans="2:105" ht="12.75" customHeight="1"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  <c r="BU128" s="69"/>
      <c r="BV128" s="69"/>
      <c r="BW128" s="69"/>
      <c r="BX128" s="69"/>
      <c r="BY128" s="69"/>
      <c r="BZ128" s="69"/>
      <c r="CA128" s="69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8"/>
      <c r="CZ128" s="68"/>
      <c r="DA128" s="68"/>
    </row>
    <row r="129" spans="2:105" ht="12.75" customHeight="1"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8"/>
      <c r="CZ129" s="68"/>
      <c r="DA129" s="68"/>
    </row>
    <row r="130" spans="2:105" ht="12.75" customHeight="1"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8"/>
      <c r="CZ130" s="68"/>
      <c r="DA130" s="68"/>
    </row>
    <row r="131" spans="2:105" ht="12.75" customHeight="1"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8"/>
      <c r="CZ131" s="68"/>
      <c r="DA131" s="68"/>
    </row>
    <row r="132" spans="2:105" ht="12.75" customHeight="1"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8"/>
      <c r="CZ132" s="68"/>
      <c r="DA132" s="68"/>
    </row>
    <row r="133" spans="2:105" ht="12.75" customHeight="1"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8"/>
      <c r="CZ133" s="68"/>
      <c r="DA133" s="68"/>
    </row>
    <row r="134" spans="2:105" ht="12.75" customHeight="1"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8"/>
      <c r="CZ134" s="68"/>
      <c r="DA134" s="68"/>
    </row>
    <row r="135" spans="2:102" ht="12.75" customHeight="1"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</row>
    <row r="136" spans="2:102" ht="12.75" customHeight="1"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</row>
    <row r="137" spans="2:102" ht="12.75" customHeight="1"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</row>
    <row r="138" spans="2:102" ht="12.75" customHeight="1"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</row>
    <row r="139" spans="2:102" ht="12.75" customHeight="1"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</row>
    <row r="140" spans="2:102" ht="12.75" customHeight="1"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</row>
    <row r="141" spans="2:102" ht="12.75" customHeight="1"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</row>
    <row r="142" spans="2:102" ht="12.75" customHeight="1"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</row>
    <row r="143" spans="2:102" ht="12.75" customHeight="1"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</row>
    <row r="144" spans="2:102" ht="12.75" customHeight="1"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</row>
    <row r="145" spans="2:102" ht="12.75" customHeight="1"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</row>
    <row r="146" spans="2:102" ht="12.75" customHeight="1"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</row>
    <row r="147" spans="2:102" ht="12.75" customHeight="1"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</row>
    <row r="148" spans="2:102" ht="12.75" customHeight="1"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</row>
    <row r="149" spans="2:102" ht="12.75" customHeight="1"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</row>
    <row r="150" spans="2:102" ht="12.75" customHeight="1"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</row>
    <row r="151" spans="2:102" ht="12.75" customHeight="1"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</row>
    <row r="152" spans="2:102" ht="12.75" customHeight="1"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</row>
    <row r="153" spans="2:102" ht="12.75" customHeight="1"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</row>
    <row r="154" spans="2:102" ht="12.75" customHeight="1"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</row>
    <row r="155" spans="2:102" ht="12.75" customHeight="1"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</row>
    <row r="156" spans="2:102" ht="12.75" customHeight="1"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</row>
    <row r="157" spans="2:102" ht="12.75" customHeight="1"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</row>
    <row r="158" spans="2:102" ht="12.75" customHeight="1"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</row>
    <row r="159" spans="2:102" ht="12.75" customHeight="1"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</row>
    <row r="160" spans="2:102" ht="12.75" customHeight="1"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</row>
    <row r="161" spans="2:102" ht="12.75" customHeight="1"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</row>
    <row r="162" spans="2:102" ht="12.75" customHeight="1"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</row>
    <row r="163" spans="2:102" ht="12.75" customHeight="1"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</row>
    <row r="164" spans="2:102" ht="12.75" customHeight="1"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</row>
    <row r="165" spans="2:102" ht="12.75" customHeight="1"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</row>
    <row r="166" spans="2:102" ht="12.75" customHeight="1"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</row>
    <row r="167" spans="2:102" ht="12.75" customHeight="1"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</row>
    <row r="168" spans="2:102" ht="12.75" customHeight="1"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</row>
    <row r="169" spans="2:102" ht="12.75" customHeight="1"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</row>
    <row r="170" spans="2:102" ht="12.75" customHeight="1"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</row>
    <row r="171" spans="2:102" ht="12.75" customHeight="1"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</row>
    <row r="172" spans="2:102" ht="12.75" customHeight="1"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</row>
    <row r="173" spans="2:102" ht="12.75" customHeight="1"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</row>
    <row r="174" spans="2:102" ht="12.75" customHeight="1"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</row>
    <row r="175" spans="2:102" ht="12.75" customHeight="1"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</row>
    <row r="176" spans="2:102" ht="12.75" customHeight="1"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</row>
    <row r="177" spans="2:102" ht="12.75" customHeight="1"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</row>
    <row r="178" spans="2:102" ht="12.75" customHeight="1"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</row>
    <row r="179" spans="2:102" ht="12.75" customHeight="1"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</row>
    <row r="180" spans="2:102" ht="12.75" customHeight="1"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</row>
    <row r="181" spans="2:102" ht="12.75" customHeight="1"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</row>
    <row r="182" spans="2:102" ht="12.75" customHeight="1"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</row>
    <row r="183" spans="2:102" ht="12.75" customHeight="1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</row>
    <row r="184" spans="2:102" ht="12.75" customHeight="1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</row>
    <row r="185" spans="2:102" ht="12.75" customHeight="1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</row>
    <row r="186" spans="2:102" ht="12.75" customHeight="1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</row>
    <row r="187" spans="2:102" ht="12.75" customHeight="1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</row>
    <row r="188" spans="2:102" ht="12.75" customHeight="1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</row>
    <row r="189" spans="2:102" ht="12.75" customHeight="1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</row>
    <row r="190" spans="2:102" ht="12.75" customHeight="1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</row>
    <row r="191" spans="2:102" ht="12.75" customHeight="1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</row>
    <row r="192" spans="2:102" ht="12.75" customHeight="1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</row>
    <row r="193" spans="2:102" ht="12.75" customHeight="1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</row>
    <row r="194" spans="2:102" ht="12.75" customHeight="1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</row>
    <row r="195" spans="2:102" ht="12.75" customHeight="1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</row>
    <row r="196" spans="2:102" ht="12.75" customHeight="1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</row>
    <row r="197" spans="2:102" ht="12.75" customHeight="1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</row>
    <row r="198" spans="2:102" ht="12.75" customHeight="1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</row>
    <row r="199" spans="2:102" ht="12.75" customHeight="1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  <c r="BU199" s="69"/>
      <c r="BV199" s="69"/>
      <c r="BW199" s="69"/>
      <c r="BX199" s="69"/>
      <c r="BY199" s="69"/>
      <c r="BZ199" s="69"/>
      <c r="CA199" s="69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</row>
    <row r="200" spans="2:102" ht="12.75" customHeight="1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</row>
    <row r="201" spans="2:102" ht="12.75" customHeight="1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</row>
    <row r="202" spans="2:102" ht="12.75" customHeight="1"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</row>
    <row r="203" spans="2:102" ht="12.75" customHeight="1"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</row>
    <row r="204" spans="2:102" ht="12.75" customHeight="1"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</row>
    <row r="205" spans="2:102" ht="12.75" customHeight="1"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</row>
    <row r="206" spans="2:102" ht="12.75" customHeight="1"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</row>
    <row r="207" spans="2:102" ht="12.75" customHeight="1"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</row>
    <row r="208" spans="2:102" ht="12.75" customHeight="1"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</row>
    <row r="209" spans="2:102" ht="12.75" customHeight="1"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</row>
    <row r="210" spans="2:102" ht="12.75" customHeight="1"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</row>
    <row r="211" spans="2:102" ht="12.75" customHeight="1"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</row>
    <row r="212" spans="2:102" ht="12.75" customHeight="1"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</row>
    <row r="213" spans="2:102" ht="12.75" customHeight="1"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</row>
    <row r="214" spans="2:102" ht="12.75" customHeight="1"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</row>
    <row r="215" spans="2:102" ht="12.75" customHeight="1"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</row>
    <row r="216" spans="2:102" ht="12.75" customHeight="1"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</row>
    <row r="217" spans="2:102" ht="12.75" customHeight="1"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</row>
    <row r="218" spans="2:102" ht="12.75" customHeight="1"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</row>
    <row r="219" spans="2:102" ht="12.75" customHeight="1"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</row>
    <row r="220" spans="2:102" ht="12.75" customHeight="1"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</row>
    <row r="221" spans="2:102" ht="12.75" customHeight="1"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</row>
    <row r="222" spans="2:102" ht="12.75" customHeight="1"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</row>
    <row r="223" spans="2:102" ht="12.75" customHeight="1"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</row>
    <row r="224" spans="2:102" ht="12.75" customHeight="1"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</row>
    <row r="225" spans="2:102" ht="12.75" customHeight="1"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</row>
    <row r="226" spans="2:102" ht="12.75" customHeight="1"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</row>
    <row r="227" spans="2:102" ht="12.75" customHeight="1"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</row>
    <row r="228" spans="2:102" ht="12.75" customHeight="1"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</row>
    <row r="229" spans="2:102" ht="12.75" customHeight="1"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</row>
    <row r="230" spans="2:102" ht="12.75" customHeight="1"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</row>
    <row r="231" spans="2:102" ht="12.75" customHeight="1"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</row>
    <row r="232" spans="2:102" ht="12.75" customHeight="1"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</row>
    <row r="233" spans="2:102" ht="12.75" customHeight="1"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</row>
    <row r="234" spans="2:102" ht="12.75" customHeight="1"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</row>
    <row r="235" spans="2:102" ht="12.75" customHeight="1"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</row>
    <row r="236" spans="2:102" ht="12.75" customHeight="1"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</row>
    <row r="237" spans="2:102" ht="12.75" customHeight="1"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</row>
    <row r="238" spans="2:102" ht="12.75" customHeight="1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</row>
    <row r="239" spans="2:102" ht="12.75" customHeight="1"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</row>
    <row r="240" spans="2:102" ht="12.75" customHeight="1"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</row>
    <row r="241" spans="2:102" ht="12.75" customHeight="1"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</row>
    <row r="242" spans="2:102" ht="12.75" customHeight="1"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</row>
    <row r="243" spans="2:102" ht="12.75" customHeight="1"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</row>
    <row r="244" spans="2:102" ht="12.75" customHeight="1"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</row>
    <row r="245" spans="2:102" ht="12.75" customHeight="1"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</row>
    <row r="246" spans="2:102" ht="12.75" customHeight="1"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</row>
    <row r="247" spans="2:102" ht="12.75" customHeight="1"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</row>
    <row r="248" spans="2:102" ht="12.75" customHeight="1"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</row>
    <row r="249" spans="2:102" ht="12.75" customHeight="1"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</row>
    <row r="250" spans="2:102" ht="12.75" customHeight="1"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</row>
    <row r="251" spans="2:102" ht="12.75" customHeight="1"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</row>
    <row r="252" spans="2:102" ht="12.75" customHeight="1"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</row>
    <row r="253" spans="2:102" ht="12.75" customHeight="1"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</row>
    <row r="254" spans="2:102" ht="12.75" customHeight="1"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</row>
    <row r="255" spans="2:102" ht="12.75" customHeight="1"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</row>
    <row r="256" spans="2:102" ht="12.75" customHeight="1"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</row>
    <row r="257" spans="2:102" ht="12.75" customHeight="1"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</row>
    <row r="258" spans="2:102" ht="12.75" customHeight="1"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</row>
    <row r="259" spans="2:102" ht="12.75" customHeight="1"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</row>
    <row r="260" spans="2:102" ht="12.75" customHeight="1"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</row>
    <row r="261" spans="2:102" ht="12.75" customHeight="1"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</row>
    <row r="262" spans="2:102" ht="12.75" customHeight="1"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</row>
    <row r="263" spans="2:102" ht="12.75" customHeight="1"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</row>
    <row r="264" spans="2:102" ht="12.75" customHeight="1"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</row>
    <row r="265" spans="2:102" ht="12.75" customHeight="1"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</row>
    <row r="266" spans="2:102" ht="12.75" customHeight="1"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</row>
    <row r="267" spans="2:102" ht="12.75" customHeight="1"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</row>
    <row r="268" spans="2:102" ht="12.75" customHeight="1"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</row>
    <row r="269" spans="2:102" ht="12.75" customHeight="1"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</row>
    <row r="270" spans="2:102" ht="12.75" customHeight="1"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</row>
    <row r="271" spans="2:102" ht="12.75" customHeight="1"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</row>
    <row r="272" spans="2:102" ht="12.75" customHeight="1"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</row>
    <row r="273" spans="2:102" ht="12.75" customHeight="1"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</row>
    <row r="274" spans="2:102" ht="12.75" customHeight="1"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</row>
  </sheetData>
  <sheetProtection/>
  <mergeCells count="7">
    <mergeCell ref="A1:C1"/>
    <mergeCell ref="A45:C45"/>
    <mergeCell ref="A3:C3"/>
    <mergeCell ref="A13:C13"/>
    <mergeCell ref="A23:C23"/>
    <mergeCell ref="A29:C29"/>
    <mergeCell ref="A39:C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2018-03-22T09:21:48Z</cp:lastPrinted>
  <dcterms:created xsi:type="dcterms:W3CDTF">1996-10-08T23:32:33Z</dcterms:created>
  <dcterms:modified xsi:type="dcterms:W3CDTF">2018-03-23T01:43:39Z</dcterms:modified>
  <cp:category/>
  <cp:version/>
  <cp:contentType/>
  <cp:contentStatus/>
</cp:coreProperties>
</file>